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fgo/"/>
    </mc:Choice>
  </mc:AlternateContent>
  <bookViews>
    <workbookView xWindow="0" yWindow="0" windowWidth="28800" windowHeight="13500" activeTab="1"/>
  </bookViews>
  <sheets>
    <sheet name="Data" sheetId="1" r:id="rId1"/>
    <sheet name="Graph" sheetId="3" r:id="rId2"/>
    <sheet name="Reference" sheetId="2" r:id="rId3"/>
  </sheets>
  <definedNames>
    <definedName name="_xlnm._FilterDatabase" localSheetId="0" hidden="1">Data!$A$1:$AG$200</definedName>
    <definedName name="cardNpValue">Reference!$A$9:$B$11</definedName>
    <definedName name="cardStarValue">Reference!$D$9:$E$11</definedName>
    <definedName name="classOrder">Reference!$G$3:$H$14</definedName>
    <definedName name="firstCardNpBonus">Reference!$B$13</definedName>
    <definedName name="firstCardStarBonus">Reference!$E$13</definedName>
    <definedName name="maxTotalNpGain">Reference!$E$2</definedName>
    <definedName name="maxTotalStarGen">Reference!$E$3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8" i="1" l="1"/>
  <c r="U129" i="1"/>
  <c r="U128" i="1"/>
  <c r="U150" i="1"/>
  <c r="U142" i="1"/>
  <c r="U84" i="1"/>
  <c r="U127" i="1"/>
  <c r="U140" i="1"/>
  <c r="U151" i="1"/>
  <c r="U76" i="1"/>
  <c r="U37" i="1"/>
  <c r="U44" i="1"/>
  <c r="U109" i="1"/>
  <c r="U48" i="1"/>
  <c r="U98" i="1"/>
  <c r="U132" i="1"/>
  <c r="U125" i="1"/>
  <c r="U123" i="1"/>
  <c r="U130" i="1"/>
  <c r="U95" i="1"/>
  <c r="U131" i="1"/>
  <c r="U91" i="1"/>
  <c r="U116" i="1"/>
  <c r="U153" i="1"/>
  <c r="U105" i="1"/>
  <c r="U85" i="1"/>
  <c r="U103" i="1"/>
  <c r="U143" i="1"/>
  <c r="U110" i="1"/>
  <c r="U23" i="1"/>
  <c r="U108" i="1"/>
  <c r="U30" i="1"/>
  <c r="U87" i="1"/>
  <c r="U73" i="1"/>
  <c r="U43" i="1"/>
  <c r="U62" i="1"/>
  <c r="U81" i="1"/>
  <c r="U31" i="1"/>
  <c r="U7" i="1"/>
  <c r="U12" i="1"/>
  <c r="U47" i="1"/>
  <c r="U79" i="1"/>
  <c r="U50" i="1"/>
  <c r="U26" i="1"/>
  <c r="U6" i="1"/>
  <c r="U157" i="1"/>
  <c r="U165" i="1"/>
  <c r="U158" i="1"/>
  <c r="U154" i="1"/>
  <c r="U145" i="1"/>
  <c r="U159" i="1"/>
  <c r="U164" i="1"/>
  <c r="U163" i="1"/>
  <c r="U160" i="1"/>
  <c r="U147" i="1"/>
  <c r="U161" i="1"/>
  <c r="U155" i="1"/>
  <c r="U94" i="1"/>
  <c r="U102" i="1"/>
  <c r="U49" i="1"/>
  <c r="U64" i="1"/>
  <c r="U136" i="1"/>
  <c r="U124" i="1"/>
  <c r="U24" i="1"/>
  <c r="U100" i="1"/>
  <c r="U13" i="1"/>
  <c r="U9" i="1"/>
  <c r="U119" i="1"/>
  <c r="U75" i="1"/>
  <c r="U93" i="1"/>
  <c r="U156" i="1"/>
  <c r="U114" i="1"/>
  <c r="U66" i="1"/>
  <c r="U2" i="1"/>
  <c r="U138" i="1"/>
  <c r="U59" i="1"/>
  <c r="U122" i="1"/>
  <c r="U113" i="1"/>
  <c r="U137" i="1"/>
  <c r="U120" i="1"/>
  <c r="U144" i="1"/>
  <c r="U162" i="1"/>
  <c r="U58" i="1"/>
  <c r="U57" i="1"/>
  <c r="U11" i="1"/>
  <c r="U141" i="1"/>
  <c r="U71" i="1"/>
  <c r="U146" i="1"/>
  <c r="U77" i="1"/>
  <c r="U96" i="1"/>
  <c r="U18" i="1"/>
  <c r="U54" i="1"/>
  <c r="U99" i="1"/>
  <c r="U88" i="1"/>
  <c r="U38" i="1"/>
  <c r="U82" i="1"/>
  <c r="U111" i="1"/>
  <c r="U117" i="1"/>
  <c r="U32" i="1"/>
  <c r="U149" i="1"/>
  <c r="U90" i="1"/>
  <c r="U42" i="1"/>
  <c r="U133" i="1"/>
  <c r="U72" i="1"/>
  <c r="U80" i="1"/>
  <c r="U74" i="1"/>
  <c r="U121" i="1"/>
  <c r="U25" i="1"/>
  <c r="U53" i="1"/>
  <c r="U104" i="1"/>
  <c r="U41" i="1"/>
  <c r="U27" i="1"/>
  <c r="U134" i="1"/>
  <c r="U5" i="1"/>
  <c r="U135" i="1"/>
  <c r="U8" i="1"/>
  <c r="U78" i="1"/>
  <c r="U46" i="1"/>
  <c r="U20" i="1"/>
  <c r="U14" i="1"/>
  <c r="U19" i="1"/>
  <c r="U139" i="1"/>
  <c r="U34" i="1"/>
  <c r="U152" i="1"/>
  <c r="U101" i="1"/>
  <c r="U28" i="1"/>
  <c r="U10" i="1"/>
  <c r="U33" i="1"/>
  <c r="U56" i="1"/>
  <c r="U115" i="1"/>
  <c r="U55" i="1"/>
  <c r="U29" i="1"/>
  <c r="U52" i="1"/>
  <c r="U118" i="1"/>
  <c r="U70" i="1"/>
  <c r="U4" i="1"/>
  <c r="U112" i="1"/>
  <c r="U3" i="1"/>
  <c r="U22" i="1"/>
  <c r="U69" i="1"/>
  <c r="U83" i="1"/>
  <c r="U16" i="1"/>
  <c r="U68" i="1"/>
  <c r="U17" i="1"/>
  <c r="U86" i="1"/>
  <c r="U97" i="1"/>
  <c r="U51" i="1"/>
  <c r="U39" i="1"/>
  <c r="U107" i="1"/>
  <c r="U61" i="1"/>
  <c r="U35" i="1"/>
  <c r="U92" i="1"/>
  <c r="U45" i="1"/>
  <c r="U65" i="1"/>
  <c r="U15" i="1"/>
  <c r="U89" i="1"/>
  <c r="U60" i="1"/>
  <c r="U21" i="1"/>
  <c r="U36" i="1"/>
  <c r="U126" i="1"/>
  <c r="U63" i="1"/>
  <c r="U40" i="1"/>
  <c r="U106" i="1"/>
  <c r="U67" i="1"/>
  <c r="Q106" i="1"/>
  <c r="S106" i="1"/>
  <c r="T36" i="1"/>
  <c r="T38" i="1"/>
  <c r="N74" i="1"/>
  <c r="P74" i="1"/>
  <c r="Q38" i="1"/>
  <c r="S118" i="1"/>
  <c r="S54" i="1"/>
  <c r="T54" i="1"/>
  <c r="T94" i="1"/>
  <c r="T21" i="1"/>
  <c r="S21" i="1"/>
  <c r="R60" i="1"/>
  <c r="P60" i="1"/>
  <c r="T35" i="1"/>
  <c r="P134" i="1"/>
  <c r="P82" i="1"/>
  <c r="AD82" i="1" s="1"/>
  <c r="T146" i="1"/>
  <c r="Q162" i="1"/>
  <c r="P147" i="1"/>
  <c r="Q160" i="1"/>
  <c r="P163" i="1"/>
  <c r="P164" i="1"/>
  <c r="S159" i="1"/>
  <c r="S145" i="1"/>
  <c r="P154" i="1"/>
  <c r="S154" i="1"/>
  <c r="Q165" i="1"/>
  <c r="R165" i="1"/>
  <c r="T15" i="1"/>
  <c r="R15" i="1"/>
  <c r="Q15" i="1"/>
  <c r="P61" i="1"/>
  <c r="AD61" i="1" s="1"/>
  <c r="T3" i="1"/>
  <c r="Q3" i="1"/>
  <c r="S3" i="1"/>
  <c r="N29" i="1"/>
  <c r="T34" i="1"/>
  <c r="R8" i="1"/>
  <c r="P53" i="1"/>
  <c r="O53" i="1"/>
  <c r="AC53" i="1" s="1"/>
  <c r="N53" i="1"/>
  <c r="R53" i="1"/>
  <c r="Q53" i="1"/>
  <c r="T25" i="1"/>
  <c r="O25" i="1"/>
  <c r="S18" i="1"/>
  <c r="O18" i="1"/>
  <c r="T11" i="1"/>
  <c r="N2" i="1"/>
  <c r="T6" i="1"/>
  <c r="S6" i="1"/>
  <c r="R26" i="1"/>
  <c r="T50" i="1"/>
  <c r="N47" i="1"/>
  <c r="R47" i="1"/>
  <c r="T47" i="1"/>
  <c r="S12" i="1"/>
  <c r="R7" i="1"/>
  <c r="T7" i="1"/>
  <c r="R31" i="1"/>
  <c r="T31" i="1"/>
  <c r="P39" i="1"/>
  <c r="N39" i="1"/>
  <c r="S39" i="1"/>
  <c r="O17" i="1"/>
  <c r="R17" i="1"/>
  <c r="Q70" i="1"/>
  <c r="P70" i="1"/>
  <c r="T56" i="1"/>
  <c r="T28" i="1"/>
  <c r="S28" i="1"/>
  <c r="S20" i="1"/>
  <c r="R27" i="1"/>
  <c r="Q27" i="1"/>
  <c r="S27" i="1"/>
  <c r="Q104" i="1"/>
  <c r="N133" i="1"/>
  <c r="O133" i="1"/>
  <c r="P133" i="1"/>
  <c r="R42" i="1"/>
  <c r="AB42" i="1" s="1"/>
  <c r="S42" i="1"/>
  <c r="T42" i="1"/>
  <c r="P32" i="1"/>
  <c r="O32" i="1"/>
  <c r="N32" i="1"/>
  <c r="T32" i="1"/>
  <c r="S32" i="1"/>
  <c r="Q137" i="1"/>
  <c r="O113" i="1"/>
  <c r="S113" i="1"/>
  <c r="S66" i="1"/>
  <c r="S13" i="1"/>
  <c r="O64" i="1"/>
  <c r="T49" i="1"/>
  <c r="P49" i="1"/>
  <c r="S81" i="1"/>
  <c r="S62" i="1"/>
  <c r="T43" i="1"/>
  <c r="O43" i="1"/>
  <c r="T73" i="1"/>
  <c r="R87" i="1"/>
  <c r="S87" i="1"/>
  <c r="P87" i="1"/>
  <c r="T30" i="1"/>
  <c r="S30" i="1"/>
  <c r="Q23" i="1"/>
  <c r="S23" i="1"/>
  <c r="S68" i="1"/>
  <c r="P68" i="1"/>
  <c r="S55" i="1"/>
  <c r="R55" i="1"/>
  <c r="O55" i="1"/>
  <c r="AC55" i="1" s="1"/>
  <c r="S78" i="1"/>
  <c r="S5" i="1"/>
  <c r="R5" i="1"/>
  <c r="N5" i="1"/>
  <c r="R121" i="1"/>
  <c r="P121" i="1"/>
  <c r="S117" i="1"/>
  <c r="R99" i="1"/>
  <c r="AB99" i="1" s="1"/>
  <c r="T99" i="1"/>
  <c r="P114" i="1"/>
  <c r="T114" i="1"/>
  <c r="R114" i="1"/>
  <c r="R100" i="1"/>
  <c r="T24" i="1"/>
  <c r="S24" i="1"/>
  <c r="Q24" i="1"/>
  <c r="N103" i="1"/>
  <c r="R85" i="1"/>
  <c r="Q85" i="1"/>
  <c r="O105" i="1"/>
  <c r="Q91" i="1"/>
  <c r="S91" i="1"/>
  <c r="R51" i="1"/>
  <c r="T51" i="1"/>
  <c r="P51" i="1"/>
  <c r="O16" i="1"/>
  <c r="N16" i="1"/>
  <c r="P16" i="1"/>
  <c r="P69" i="1"/>
  <c r="S69" i="1"/>
  <c r="R69" i="1"/>
  <c r="T22" i="1"/>
  <c r="P52" i="1"/>
  <c r="R10" i="1"/>
  <c r="Q10" i="1"/>
  <c r="S46" i="1"/>
  <c r="P46" i="1"/>
  <c r="O90" i="1"/>
  <c r="P71" i="1"/>
  <c r="O141" i="1"/>
  <c r="AC141" i="1" s="1"/>
  <c r="R141" i="1"/>
  <c r="R57" i="1"/>
  <c r="S57" i="1"/>
  <c r="P57" i="1"/>
  <c r="T122" i="1"/>
  <c r="P122" i="1"/>
  <c r="R93" i="1"/>
  <c r="N75" i="1"/>
  <c r="AB75" i="1" s="1"/>
  <c r="P131" i="1"/>
  <c r="P95" i="1"/>
  <c r="Q95" i="1"/>
  <c r="P45" i="1"/>
  <c r="O45" i="1"/>
  <c r="N45" i="1"/>
  <c r="S83" i="1"/>
  <c r="R4" i="1"/>
  <c r="S4" i="1"/>
  <c r="P4" i="1"/>
  <c r="O4" i="1"/>
  <c r="N4" i="1"/>
  <c r="T115" i="1"/>
  <c r="O33" i="1"/>
  <c r="P152" i="1"/>
  <c r="AD152" i="1" s="1"/>
  <c r="S19" i="1"/>
  <c r="S72" i="1"/>
  <c r="Q88" i="1"/>
  <c r="P58" i="1"/>
  <c r="T58" i="1"/>
  <c r="S58" i="1"/>
  <c r="R58" i="1"/>
  <c r="T59" i="1"/>
  <c r="S59" i="1"/>
  <c r="Q59" i="1"/>
  <c r="Q119" i="1"/>
  <c r="S98" i="1"/>
  <c r="R98" i="1"/>
  <c r="O48" i="1"/>
  <c r="S48" i="1"/>
  <c r="Q109" i="1"/>
  <c r="N109" i="1"/>
  <c r="T44" i="1"/>
  <c r="Q44" i="1"/>
  <c r="S37" i="1"/>
  <c r="Q37" i="1"/>
  <c r="P76" i="1"/>
  <c r="N76" i="1"/>
  <c r="O76" i="1"/>
  <c r="AC76" i="1" s="1"/>
  <c r="R76" i="1"/>
  <c r="S63" i="1"/>
  <c r="R63" i="1"/>
  <c r="P63" i="1"/>
  <c r="S89" i="1"/>
  <c r="T89" i="1"/>
  <c r="P89" i="1"/>
  <c r="R107" i="1"/>
  <c r="AB107" i="1" s="1"/>
  <c r="P107" i="1"/>
  <c r="P112" i="1"/>
  <c r="Q112" i="1"/>
  <c r="S101" i="1"/>
  <c r="T139" i="1"/>
  <c r="S139" i="1"/>
  <c r="P139" i="1"/>
  <c r="T14" i="1"/>
  <c r="S14" i="1"/>
  <c r="O96" i="1"/>
  <c r="R77" i="1"/>
  <c r="Q77" i="1"/>
  <c r="S138" i="1"/>
  <c r="T77" i="1"/>
  <c r="P138" i="1"/>
  <c r="N9" i="1"/>
  <c r="P140" i="1"/>
  <c r="Q140" i="1"/>
  <c r="T127" i="1"/>
  <c r="R84" i="1"/>
  <c r="P142" i="1"/>
  <c r="Q142" i="1"/>
  <c r="AB87" i="1"/>
  <c r="AC87" i="1"/>
  <c r="AD87" i="1"/>
  <c r="AB73" i="1"/>
  <c r="AC73" i="1"/>
  <c r="AD73" i="1"/>
  <c r="Y43" i="1"/>
  <c r="AB43" i="1"/>
  <c r="AC43" i="1"/>
  <c r="AD43" i="1"/>
  <c r="AB62" i="1"/>
  <c r="AC62" i="1"/>
  <c r="AD62" i="1"/>
  <c r="AB81" i="1"/>
  <c r="AC81" i="1"/>
  <c r="AD81" i="1"/>
  <c r="AB31" i="1"/>
  <c r="AC31" i="1"/>
  <c r="AD31" i="1"/>
  <c r="AB7" i="1"/>
  <c r="AC7" i="1"/>
  <c r="AD7" i="1"/>
  <c r="AB12" i="1"/>
  <c r="AC12" i="1"/>
  <c r="AD12" i="1"/>
  <c r="AB47" i="1"/>
  <c r="AC47" i="1"/>
  <c r="AD47" i="1"/>
  <c r="AB79" i="1"/>
  <c r="AC79" i="1"/>
  <c r="AD79" i="1"/>
  <c r="AB50" i="1"/>
  <c r="AC50" i="1"/>
  <c r="AD50" i="1"/>
  <c r="AB26" i="1"/>
  <c r="AC26" i="1"/>
  <c r="AD26" i="1"/>
  <c r="AB6" i="1"/>
  <c r="AC6" i="1"/>
  <c r="AD6" i="1"/>
  <c r="AB157" i="1"/>
  <c r="AC157" i="1"/>
  <c r="AD157" i="1"/>
  <c r="AB165" i="1"/>
  <c r="AC165" i="1"/>
  <c r="AD165" i="1"/>
  <c r="AB158" i="1"/>
  <c r="AC158" i="1"/>
  <c r="AD158" i="1"/>
  <c r="AB154" i="1"/>
  <c r="AC154" i="1"/>
  <c r="AD154" i="1"/>
  <c r="AB145" i="1"/>
  <c r="AC145" i="1"/>
  <c r="AD145" i="1"/>
  <c r="Y159" i="1"/>
  <c r="AB159" i="1"/>
  <c r="AC159" i="1"/>
  <c r="AD159" i="1"/>
  <c r="AB164" i="1"/>
  <c r="AC164" i="1"/>
  <c r="AD164" i="1"/>
  <c r="AB163" i="1"/>
  <c r="AC163" i="1"/>
  <c r="AD163" i="1"/>
  <c r="AB160" i="1"/>
  <c r="AC160" i="1"/>
  <c r="AD160" i="1"/>
  <c r="AB147" i="1"/>
  <c r="AC147" i="1"/>
  <c r="AD147" i="1"/>
  <c r="AB161" i="1"/>
  <c r="AC161" i="1"/>
  <c r="AD161" i="1"/>
  <c r="AB155" i="1"/>
  <c r="AC155" i="1"/>
  <c r="AD155" i="1"/>
  <c r="AB94" i="1"/>
  <c r="AC94" i="1"/>
  <c r="AD94" i="1"/>
  <c r="AB102" i="1"/>
  <c r="AC102" i="1"/>
  <c r="AD102" i="1"/>
  <c r="AB49" i="1"/>
  <c r="AC49" i="1"/>
  <c r="AD49" i="1"/>
  <c r="AB64" i="1"/>
  <c r="AC64" i="1"/>
  <c r="AD64" i="1"/>
  <c r="AB136" i="1"/>
  <c r="AC136" i="1"/>
  <c r="AD136" i="1"/>
  <c r="AB124" i="1"/>
  <c r="AC124" i="1"/>
  <c r="AD124" i="1"/>
  <c r="AB24" i="1"/>
  <c r="AC24" i="1"/>
  <c r="AD24" i="1"/>
  <c r="AB100" i="1"/>
  <c r="AC100" i="1"/>
  <c r="AD100" i="1"/>
  <c r="AB13" i="1"/>
  <c r="AC13" i="1"/>
  <c r="AD13" i="1"/>
  <c r="Y9" i="1"/>
  <c r="AB9" i="1"/>
  <c r="AC9" i="1"/>
  <c r="AD9" i="1"/>
  <c r="AB119" i="1"/>
  <c r="AC119" i="1"/>
  <c r="AD119" i="1"/>
  <c r="AC75" i="1"/>
  <c r="AD75" i="1"/>
  <c r="AB93" i="1"/>
  <c r="AC93" i="1"/>
  <c r="AD93" i="1"/>
  <c r="AB156" i="1"/>
  <c r="AC156" i="1"/>
  <c r="AD156" i="1"/>
  <c r="AB114" i="1"/>
  <c r="AC114" i="1"/>
  <c r="AD114" i="1"/>
  <c r="AB66" i="1"/>
  <c r="AC66" i="1"/>
  <c r="AD66" i="1"/>
  <c r="AB2" i="1"/>
  <c r="AC2" i="1"/>
  <c r="AD2" i="1"/>
  <c r="AB138" i="1"/>
  <c r="AC138" i="1"/>
  <c r="AD138" i="1"/>
  <c r="AB59" i="1"/>
  <c r="AC59" i="1"/>
  <c r="AD59" i="1"/>
  <c r="AB122" i="1"/>
  <c r="AC122" i="1"/>
  <c r="AD122" i="1"/>
  <c r="AB113" i="1"/>
  <c r="AC113" i="1"/>
  <c r="AD113" i="1"/>
  <c r="AB137" i="1"/>
  <c r="AC137" i="1"/>
  <c r="AD137" i="1"/>
  <c r="AB120" i="1"/>
  <c r="AC120" i="1"/>
  <c r="AD120" i="1"/>
  <c r="AB144" i="1"/>
  <c r="AC144" i="1"/>
  <c r="AD144" i="1"/>
  <c r="AB162" i="1"/>
  <c r="AC162" i="1"/>
  <c r="AD162" i="1"/>
  <c r="Y58" i="1"/>
  <c r="AB58" i="1"/>
  <c r="AC58" i="1"/>
  <c r="AD58" i="1"/>
  <c r="AB57" i="1"/>
  <c r="AC57" i="1"/>
  <c r="AD57" i="1"/>
  <c r="AB11" i="1"/>
  <c r="AC11" i="1"/>
  <c r="AD11" i="1"/>
  <c r="AB141" i="1"/>
  <c r="AD141" i="1"/>
  <c r="AB71" i="1"/>
  <c r="AC71" i="1"/>
  <c r="AD71" i="1"/>
  <c r="AB146" i="1"/>
  <c r="AC146" i="1"/>
  <c r="AD146" i="1"/>
  <c r="AB77" i="1"/>
  <c r="AC77" i="1"/>
  <c r="AD77" i="1"/>
  <c r="AB96" i="1"/>
  <c r="AC96" i="1"/>
  <c r="AD96" i="1"/>
  <c r="AB18" i="1"/>
  <c r="AC18" i="1"/>
  <c r="AD18" i="1"/>
  <c r="AB54" i="1"/>
  <c r="AC54" i="1"/>
  <c r="AD54" i="1"/>
  <c r="AB88" i="1"/>
  <c r="AC88" i="1"/>
  <c r="AD88" i="1"/>
  <c r="AB38" i="1"/>
  <c r="AC38" i="1"/>
  <c r="AD38" i="1"/>
  <c r="AB82" i="1"/>
  <c r="AC82" i="1"/>
  <c r="AB111" i="1"/>
  <c r="AC111" i="1"/>
  <c r="AD111" i="1"/>
  <c r="AB117" i="1"/>
  <c r="AC117" i="1"/>
  <c r="AD117" i="1"/>
  <c r="Y32" i="1"/>
  <c r="AB32" i="1"/>
  <c r="AC32" i="1"/>
  <c r="AD32" i="1"/>
  <c r="AB149" i="1"/>
  <c r="AC149" i="1"/>
  <c r="AD149" i="1"/>
  <c r="AB90" i="1"/>
  <c r="AC90" i="1"/>
  <c r="AD90" i="1"/>
  <c r="AB133" i="1"/>
  <c r="AC133" i="1"/>
  <c r="AD133" i="1"/>
  <c r="AB72" i="1"/>
  <c r="AC72" i="1"/>
  <c r="AD72" i="1"/>
  <c r="AB80" i="1"/>
  <c r="AC80" i="1"/>
  <c r="AD80" i="1"/>
  <c r="AB74" i="1"/>
  <c r="AC74" i="1"/>
  <c r="AD74" i="1"/>
  <c r="AB121" i="1"/>
  <c r="AC121" i="1"/>
  <c r="AD121" i="1"/>
  <c r="AB25" i="1"/>
  <c r="AC25" i="1"/>
  <c r="AD25" i="1"/>
  <c r="AB53" i="1"/>
  <c r="AD53" i="1"/>
  <c r="AB104" i="1"/>
  <c r="AC104" i="1"/>
  <c r="AD104" i="1"/>
  <c r="AB41" i="1"/>
  <c r="AC41" i="1"/>
  <c r="AD41" i="1"/>
  <c r="AB27" i="1"/>
  <c r="AC27" i="1"/>
  <c r="AD27" i="1"/>
  <c r="AB134" i="1"/>
  <c r="AC134" i="1"/>
  <c r="AD134" i="1"/>
  <c r="AB5" i="1"/>
  <c r="AC5" i="1"/>
  <c r="AD5" i="1"/>
  <c r="Y135" i="1"/>
  <c r="AB135" i="1"/>
  <c r="AC135" i="1"/>
  <c r="AD135" i="1"/>
  <c r="AB8" i="1"/>
  <c r="AC8" i="1"/>
  <c r="AD8" i="1"/>
  <c r="AB78" i="1"/>
  <c r="AC78" i="1"/>
  <c r="AD78" i="1"/>
  <c r="AB46" i="1"/>
  <c r="AC46" i="1"/>
  <c r="AD46" i="1"/>
  <c r="AB20" i="1"/>
  <c r="AC20" i="1"/>
  <c r="AD20" i="1"/>
  <c r="AB14" i="1"/>
  <c r="AC14" i="1"/>
  <c r="AD14" i="1"/>
  <c r="AB19" i="1"/>
  <c r="AC19" i="1"/>
  <c r="AD19" i="1"/>
  <c r="AB139" i="1"/>
  <c r="AC139" i="1"/>
  <c r="AD139" i="1"/>
  <c r="AB34" i="1"/>
  <c r="AC34" i="1"/>
  <c r="AD34" i="1"/>
  <c r="AB152" i="1"/>
  <c r="AC152" i="1"/>
  <c r="AB101" i="1"/>
  <c r="AC101" i="1"/>
  <c r="AD101" i="1"/>
  <c r="AB28" i="1"/>
  <c r="AC28" i="1"/>
  <c r="AD28" i="1"/>
  <c r="AB10" i="1"/>
  <c r="AC10" i="1"/>
  <c r="AD10" i="1"/>
  <c r="AB33" i="1"/>
  <c r="AC33" i="1"/>
  <c r="AD33" i="1"/>
  <c r="AB56" i="1"/>
  <c r="AC56" i="1"/>
  <c r="AD56" i="1"/>
  <c r="AB115" i="1"/>
  <c r="AC115" i="1"/>
  <c r="AD115" i="1"/>
  <c r="Y55" i="1"/>
  <c r="AB55" i="1"/>
  <c r="AD55" i="1"/>
  <c r="AB29" i="1"/>
  <c r="AC29" i="1"/>
  <c r="AD29" i="1"/>
  <c r="AB52" i="1"/>
  <c r="AC52" i="1"/>
  <c r="AD52" i="1"/>
  <c r="AB118" i="1"/>
  <c r="AC118" i="1"/>
  <c r="AD118" i="1"/>
  <c r="AB70" i="1"/>
  <c r="AC70" i="1"/>
  <c r="AD70" i="1"/>
  <c r="AB4" i="1"/>
  <c r="AC4" i="1"/>
  <c r="AD4" i="1"/>
  <c r="AB112" i="1"/>
  <c r="AC112" i="1"/>
  <c r="AD112" i="1"/>
  <c r="AB3" i="1"/>
  <c r="AC3" i="1"/>
  <c r="AD3" i="1"/>
  <c r="AB22" i="1"/>
  <c r="AC22" i="1"/>
  <c r="AD22" i="1"/>
  <c r="AB69" i="1"/>
  <c r="AC69" i="1"/>
  <c r="AD69" i="1"/>
  <c r="AB83" i="1"/>
  <c r="AC83" i="1"/>
  <c r="AD83" i="1"/>
  <c r="AB16" i="1"/>
  <c r="AC16" i="1"/>
  <c r="AD16" i="1"/>
  <c r="AB68" i="1"/>
  <c r="AC68" i="1"/>
  <c r="AD68" i="1"/>
  <c r="AB17" i="1"/>
  <c r="AC17" i="1"/>
  <c r="AD17" i="1"/>
  <c r="AB86" i="1"/>
  <c r="AC86" i="1"/>
  <c r="AD86" i="1"/>
  <c r="AB97" i="1"/>
  <c r="AC97" i="1"/>
  <c r="AD97" i="1"/>
  <c r="Y51" i="1"/>
  <c r="AB51" i="1"/>
  <c r="AC51" i="1"/>
  <c r="AD51" i="1"/>
  <c r="AB39" i="1"/>
  <c r="AC39" i="1"/>
  <c r="AD39" i="1"/>
  <c r="AB61" i="1"/>
  <c r="AC61" i="1"/>
  <c r="AB35" i="1"/>
  <c r="AC35" i="1"/>
  <c r="AD35" i="1"/>
  <c r="AB92" i="1"/>
  <c r="AC92" i="1"/>
  <c r="AD92" i="1"/>
  <c r="AB45" i="1"/>
  <c r="AC45" i="1"/>
  <c r="AD45" i="1"/>
  <c r="AB65" i="1"/>
  <c r="AC65" i="1"/>
  <c r="AD65" i="1"/>
  <c r="AB15" i="1"/>
  <c r="AC15" i="1"/>
  <c r="AD15" i="1"/>
  <c r="AB89" i="1"/>
  <c r="AC89" i="1"/>
  <c r="AD89" i="1"/>
  <c r="AB60" i="1"/>
  <c r="AC60" i="1"/>
  <c r="AD60" i="1"/>
  <c r="AB21" i="1"/>
  <c r="AC21" i="1"/>
  <c r="AD21" i="1"/>
  <c r="AB36" i="1"/>
  <c r="AC36" i="1"/>
  <c r="AD36" i="1"/>
  <c r="AB126" i="1"/>
  <c r="AC126" i="1"/>
  <c r="AD126" i="1"/>
  <c r="AB63" i="1"/>
  <c r="AC63" i="1"/>
  <c r="AD63" i="1"/>
  <c r="AB40" i="1"/>
  <c r="AC40" i="1"/>
  <c r="AD40" i="1"/>
  <c r="Y106" i="1"/>
  <c r="AB106" i="1"/>
  <c r="AC106" i="1"/>
  <c r="AD106" i="1"/>
  <c r="AB166" i="1"/>
  <c r="AC166" i="1"/>
  <c r="AD166" i="1"/>
  <c r="AB167" i="1"/>
  <c r="AC167" i="1"/>
  <c r="AD167" i="1"/>
  <c r="AB168" i="1"/>
  <c r="AC168" i="1"/>
  <c r="AD168" i="1"/>
  <c r="AB169" i="1"/>
  <c r="AC169" i="1"/>
  <c r="AD169" i="1"/>
  <c r="AB170" i="1"/>
  <c r="AC170" i="1"/>
  <c r="AD170" i="1"/>
  <c r="AB171" i="1"/>
  <c r="AC171" i="1"/>
  <c r="AD171" i="1"/>
  <c r="AB172" i="1"/>
  <c r="AC172" i="1"/>
  <c r="AD172" i="1"/>
  <c r="AB173" i="1"/>
  <c r="AC173" i="1"/>
  <c r="AD173" i="1"/>
  <c r="AB174" i="1"/>
  <c r="AC174" i="1"/>
  <c r="AD174" i="1"/>
  <c r="AB175" i="1"/>
  <c r="AC175" i="1"/>
  <c r="AD175" i="1"/>
  <c r="AB176" i="1"/>
  <c r="AC176" i="1"/>
  <c r="AD176" i="1"/>
  <c r="AB177" i="1"/>
  <c r="AC177" i="1"/>
  <c r="AD177" i="1"/>
  <c r="AB178" i="1"/>
  <c r="AC178" i="1"/>
  <c r="AD178" i="1"/>
  <c r="AB179" i="1"/>
  <c r="AC179" i="1"/>
  <c r="AD179" i="1"/>
  <c r="AB180" i="1"/>
  <c r="AC180" i="1"/>
  <c r="AD180" i="1"/>
  <c r="AB181" i="1"/>
  <c r="AC181" i="1"/>
  <c r="AD181" i="1"/>
  <c r="AB182" i="1"/>
  <c r="AC182" i="1"/>
  <c r="AD182" i="1"/>
  <c r="AB183" i="1"/>
  <c r="AC183" i="1"/>
  <c r="AD183" i="1"/>
  <c r="AB184" i="1"/>
  <c r="AC184" i="1"/>
  <c r="AD184" i="1"/>
  <c r="AB185" i="1"/>
  <c r="AC185" i="1"/>
  <c r="AD185" i="1"/>
  <c r="AB186" i="1"/>
  <c r="AC186" i="1"/>
  <c r="AD186" i="1"/>
  <c r="AB187" i="1"/>
  <c r="AC187" i="1"/>
  <c r="AD187" i="1"/>
  <c r="AB188" i="1"/>
  <c r="AC188" i="1"/>
  <c r="AD188" i="1"/>
  <c r="X189" i="1"/>
  <c r="AB189" i="1"/>
  <c r="AC189" i="1"/>
  <c r="AD189" i="1"/>
  <c r="AB190" i="1"/>
  <c r="AC190" i="1"/>
  <c r="AD190" i="1"/>
  <c r="AB191" i="1"/>
  <c r="AC191" i="1"/>
  <c r="AD191" i="1"/>
  <c r="AB192" i="1"/>
  <c r="AC192" i="1"/>
  <c r="AD192" i="1"/>
  <c r="Y193" i="1"/>
  <c r="AB193" i="1"/>
  <c r="AC193" i="1"/>
  <c r="AD193" i="1"/>
  <c r="AB194" i="1"/>
  <c r="AC194" i="1"/>
  <c r="AD194" i="1"/>
  <c r="AB195" i="1"/>
  <c r="AC195" i="1"/>
  <c r="AD195" i="1"/>
  <c r="AB196" i="1"/>
  <c r="AC196" i="1"/>
  <c r="AD196" i="1"/>
  <c r="AB197" i="1"/>
  <c r="AC197" i="1"/>
  <c r="AD197" i="1"/>
  <c r="AB198" i="1"/>
  <c r="AC198" i="1"/>
  <c r="AD198" i="1"/>
  <c r="AB199" i="1"/>
  <c r="AC199" i="1"/>
  <c r="AD199" i="1"/>
  <c r="AB200" i="1"/>
  <c r="AC200" i="1"/>
  <c r="AD200" i="1"/>
  <c r="AB84" i="1"/>
  <c r="AC84" i="1"/>
  <c r="AD84" i="1"/>
  <c r="AB127" i="1"/>
  <c r="AC127" i="1"/>
  <c r="AD127" i="1"/>
  <c r="AB140" i="1"/>
  <c r="AC140" i="1"/>
  <c r="AD140" i="1"/>
  <c r="AB151" i="1"/>
  <c r="AC151" i="1"/>
  <c r="AD151" i="1"/>
  <c r="AB76" i="1"/>
  <c r="AD76" i="1"/>
  <c r="Y37" i="1"/>
  <c r="AB37" i="1"/>
  <c r="AC37" i="1"/>
  <c r="AD37" i="1"/>
  <c r="AB44" i="1"/>
  <c r="AC44" i="1"/>
  <c r="AD44" i="1"/>
  <c r="AB109" i="1"/>
  <c r="AC109" i="1"/>
  <c r="AD109" i="1"/>
  <c r="AB48" i="1"/>
  <c r="AC48" i="1"/>
  <c r="AD48" i="1"/>
  <c r="Y98" i="1"/>
  <c r="AB98" i="1"/>
  <c r="AC98" i="1"/>
  <c r="AD98" i="1"/>
  <c r="AB132" i="1"/>
  <c r="AC132" i="1"/>
  <c r="AD132" i="1"/>
  <c r="AB125" i="1"/>
  <c r="AC125" i="1"/>
  <c r="AD125" i="1"/>
  <c r="AB123" i="1"/>
  <c r="AC123" i="1"/>
  <c r="AD123" i="1"/>
  <c r="Y130" i="1"/>
  <c r="AB130" i="1"/>
  <c r="AC130" i="1"/>
  <c r="AD130" i="1"/>
  <c r="AB95" i="1"/>
  <c r="AC95" i="1"/>
  <c r="AD95" i="1"/>
  <c r="AB131" i="1"/>
  <c r="AC131" i="1"/>
  <c r="AD131" i="1"/>
  <c r="AB91" i="1"/>
  <c r="AC91" i="1"/>
  <c r="AD91" i="1"/>
  <c r="Y116" i="1"/>
  <c r="AB116" i="1"/>
  <c r="AC116" i="1"/>
  <c r="AD116" i="1"/>
  <c r="AB153" i="1"/>
  <c r="AC153" i="1"/>
  <c r="AD153" i="1"/>
  <c r="AB105" i="1"/>
  <c r="AC105" i="1"/>
  <c r="AD105" i="1"/>
  <c r="AB85" i="1"/>
  <c r="AC85" i="1"/>
  <c r="AD85" i="1"/>
  <c r="Y103" i="1"/>
  <c r="AB103" i="1"/>
  <c r="AC103" i="1"/>
  <c r="AD103" i="1"/>
  <c r="AB143" i="1"/>
  <c r="AC143" i="1"/>
  <c r="AD143" i="1"/>
  <c r="AB110" i="1"/>
  <c r="AC110" i="1"/>
  <c r="AD110" i="1"/>
  <c r="AB23" i="1"/>
  <c r="AC23" i="1"/>
  <c r="AD23" i="1"/>
  <c r="Y108" i="1"/>
  <c r="AB108" i="1"/>
  <c r="AC108" i="1"/>
  <c r="AD108" i="1"/>
  <c r="AB30" i="1"/>
  <c r="AC30" i="1"/>
  <c r="AD30" i="1"/>
  <c r="AB148" i="1"/>
  <c r="AC148" i="1"/>
  <c r="AB129" i="1"/>
  <c r="AC129" i="1"/>
  <c r="AB128" i="1"/>
  <c r="AC128" i="1"/>
  <c r="AD128" i="1"/>
  <c r="AB150" i="1"/>
  <c r="AC150" i="1"/>
  <c r="AD150" i="1"/>
  <c r="Y142" i="1"/>
  <c r="AB142" i="1"/>
  <c r="AC142" i="1"/>
  <c r="AD142" i="1"/>
  <c r="AD67" i="1"/>
  <c r="AC67" i="1"/>
  <c r="AB67" i="1"/>
  <c r="T128" i="1"/>
  <c r="T129" i="1"/>
  <c r="P129" i="1"/>
  <c r="T67" i="1"/>
  <c r="P148" i="1"/>
  <c r="AD148" i="1" s="1"/>
  <c r="Q67" i="1"/>
  <c r="Y67" i="1" s="1"/>
  <c r="S67" i="1"/>
  <c r="B11" i="2"/>
  <c r="Y197" i="1" s="1"/>
  <c r="B10" i="2"/>
  <c r="B9" i="2"/>
  <c r="W31" i="1" s="1"/>
  <c r="AC99" i="1" l="1"/>
  <c r="AD99" i="1"/>
  <c r="AD107" i="1"/>
  <c r="AD42" i="1"/>
  <c r="AC107" i="1"/>
  <c r="AC42" i="1"/>
  <c r="AE185" i="1"/>
  <c r="AE157" i="1"/>
  <c r="AE31" i="1"/>
  <c r="AE106" i="1"/>
  <c r="AE94" i="1"/>
  <c r="W65" i="1"/>
  <c r="X87" i="1"/>
  <c r="X81" i="1"/>
  <c r="X47" i="1"/>
  <c r="X6" i="1"/>
  <c r="X154" i="1"/>
  <c r="X163" i="1"/>
  <c r="X155" i="1"/>
  <c r="X64" i="1"/>
  <c r="X100" i="1"/>
  <c r="X75" i="1"/>
  <c r="X66" i="1"/>
  <c r="X122" i="1"/>
  <c r="X144" i="1"/>
  <c r="X11" i="1"/>
  <c r="X77" i="1"/>
  <c r="X99" i="1"/>
  <c r="X111" i="1"/>
  <c r="X90" i="1"/>
  <c r="X80" i="1"/>
  <c r="X53" i="1"/>
  <c r="X134" i="1"/>
  <c r="X78" i="1"/>
  <c r="X19" i="1"/>
  <c r="X101" i="1"/>
  <c r="X56" i="1"/>
  <c r="X52" i="1"/>
  <c r="X112" i="1"/>
  <c r="X83" i="1"/>
  <c r="X86" i="1"/>
  <c r="X107" i="1"/>
  <c r="X45" i="1"/>
  <c r="X60" i="1"/>
  <c r="X63" i="1"/>
  <c r="X167" i="1"/>
  <c r="X171" i="1"/>
  <c r="X175" i="1"/>
  <c r="X179" i="1"/>
  <c r="X183" i="1"/>
  <c r="X187" i="1"/>
  <c r="X191" i="1"/>
  <c r="X195" i="1"/>
  <c r="X199" i="1"/>
  <c r="X62" i="1"/>
  <c r="X12" i="1"/>
  <c r="X26" i="1"/>
  <c r="X158" i="1"/>
  <c r="X164" i="1"/>
  <c r="X161" i="1"/>
  <c r="X49" i="1"/>
  <c r="X24" i="1"/>
  <c r="X119" i="1"/>
  <c r="X114" i="1"/>
  <c r="X59" i="1"/>
  <c r="X120" i="1"/>
  <c r="X57" i="1"/>
  <c r="X146" i="1"/>
  <c r="X54" i="1"/>
  <c r="X82" i="1"/>
  <c r="X149" i="1"/>
  <c r="X72" i="1"/>
  <c r="X25" i="1"/>
  <c r="X27" i="1"/>
  <c r="X8" i="1"/>
  <c r="X14" i="1"/>
  <c r="X152" i="1"/>
  <c r="X33" i="1"/>
  <c r="X29" i="1"/>
  <c r="X4" i="1"/>
  <c r="X69" i="1"/>
  <c r="X17" i="1"/>
  <c r="X39" i="1"/>
  <c r="X92" i="1"/>
  <c r="X89" i="1"/>
  <c r="X126" i="1"/>
  <c r="X166" i="1"/>
  <c r="X170" i="1"/>
  <c r="X174" i="1"/>
  <c r="X178" i="1"/>
  <c r="X182" i="1"/>
  <c r="X186" i="1"/>
  <c r="X190" i="1"/>
  <c r="X194" i="1"/>
  <c r="X198" i="1"/>
  <c r="X127" i="1"/>
  <c r="X43" i="1"/>
  <c r="X7" i="1"/>
  <c r="X50" i="1"/>
  <c r="X165" i="1"/>
  <c r="X159" i="1"/>
  <c r="X147" i="1"/>
  <c r="X102" i="1"/>
  <c r="Z102" i="1" s="1"/>
  <c r="X124" i="1"/>
  <c r="X9" i="1"/>
  <c r="X156" i="1"/>
  <c r="X138" i="1"/>
  <c r="X137" i="1"/>
  <c r="X58" i="1"/>
  <c r="X71" i="1"/>
  <c r="X18" i="1"/>
  <c r="X38" i="1"/>
  <c r="X32" i="1"/>
  <c r="X133" i="1"/>
  <c r="X121" i="1"/>
  <c r="X41" i="1"/>
  <c r="X135" i="1"/>
  <c r="X20" i="1"/>
  <c r="X34" i="1"/>
  <c r="X10" i="1"/>
  <c r="X55" i="1"/>
  <c r="X70" i="1"/>
  <c r="X22" i="1"/>
  <c r="X68" i="1"/>
  <c r="X51" i="1"/>
  <c r="X35" i="1"/>
  <c r="X15" i="1"/>
  <c r="X36" i="1"/>
  <c r="X106" i="1"/>
  <c r="X169" i="1"/>
  <c r="X73" i="1"/>
  <c r="X31" i="1"/>
  <c r="X79" i="1"/>
  <c r="X157" i="1"/>
  <c r="X145" i="1"/>
  <c r="X160" i="1"/>
  <c r="X94" i="1"/>
  <c r="X136" i="1"/>
  <c r="X13" i="1"/>
  <c r="X93" i="1"/>
  <c r="X2" i="1"/>
  <c r="X113" i="1"/>
  <c r="X162" i="1"/>
  <c r="X141" i="1"/>
  <c r="X96" i="1"/>
  <c r="X88" i="1"/>
  <c r="X117" i="1"/>
  <c r="X42" i="1"/>
  <c r="X74" i="1"/>
  <c r="X104" i="1"/>
  <c r="X5" i="1"/>
  <c r="X46" i="1"/>
  <c r="X139" i="1"/>
  <c r="X28" i="1"/>
  <c r="X115" i="1"/>
  <c r="X118" i="1"/>
  <c r="X3" i="1"/>
  <c r="X16" i="1"/>
  <c r="X97" i="1"/>
  <c r="X61" i="1"/>
  <c r="X65" i="1"/>
  <c r="X21" i="1"/>
  <c r="X40" i="1"/>
  <c r="X168" i="1"/>
  <c r="X172" i="1"/>
  <c r="X176" i="1"/>
  <c r="X180" i="1"/>
  <c r="X184" i="1"/>
  <c r="X188" i="1"/>
  <c r="X192" i="1"/>
  <c r="X196" i="1"/>
  <c r="X200" i="1"/>
  <c r="X142" i="1"/>
  <c r="X129" i="1"/>
  <c r="X108" i="1"/>
  <c r="X103" i="1"/>
  <c r="X116" i="1"/>
  <c r="X130" i="1"/>
  <c r="X98" i="1"/>
  <c r="X37" i="1"/>
  <c r="X193" i="1"/>
  <c r="AE182" i="1"/>
  <c r="W176" i="1"/>
  <c r="W150" i="1"/>
  <c r="W123" i="1"/>
  <c r="W76" i="1"/>
  <c r="W74" i="1"/>
  <c r="W94" i="1"/>
  <c r="Y73" i="1"/>
  <c r="Y31" i="1"/>
  <c r="Y79" i="1"/>
  <c r="Y157" i="1"/>
  <c r="Y145" i="1"/>
  <c r="Y160" i="1"/>
  <c r="Y94" i="1"/>
  <c r="Y136" i="1"/>
  <c r="Y13" i="1"/>
  <c r="Y93" i="1"/>
  <c r="Y2" i="1"/>
  <c r="Y113" i="1"/>
  <c r="Y162" i="1"/>
  <c r="Y141" i="1"/>
  <c r="Y96" i="1"/>
  <c r="Y88" i="1"/>
  <c r="Y117" i="1"/>
  <c r="Y42" i="1"/>
  <c r="Y74" i="1"/>
  <c r="Y104" i="1"/>
  <c r="Y5" i="1"/>
  <c r="Y46" i="1"/>
  <c r="Y139" i="1"/>
  <c r="Y28" i="1"/>
  <c r="Y115" i="1"/>
  <c r="Y118" i="1"/>
  <c r="Y3" i="1"/>
  <c r="Y16" i="1"/>
  <c r="Y97" i="1"/>
  <c r="Y61" i="1"/>
  <c r="Y65" i="1"/>
  <c r="Y21" i="1"/>
  <c r="Y40" i="1"/>
  <c r="Y168" i="1"/>
  <c r="Y172" i="1"/>
  <c r="Y176" i="1"/>
  <c r="Y180" i="1"/>
  <c r="Y184" i="1"/>
  <c r="Y188" i="1"/>
  <c r="Y192" i="1"/>
  <c r="Y196" i="1"/>
  <c r="Y200" i="1"/>
  <c r="Y87" i="1"/>
  <c r="Y81" i="1"/>
  <c r="Y47" i="1"/>
  <c r="Y6" i="1"/>
  <c r="Y154" i="1"/>
  <c r="Y163" i="1"/>
  <c r="Y155" i="1"/>
  <c r="Y64" i="1"/>
  <c r="Y100" i="1"/>
  <c r="Y75" i="1"/>
  <c r="Y66" i="1"/>
  <c r="Y122" i="1"/>
  <c r="Y144" i="1"/>
  <c r="Y11" i="1"/>
  <c r="Y77" i="1"/>
  <c r="Y99" i="1"/>
  <c r="Y111" i="1"/>
  <c r="Y90" i="1"/>
  <c r="Y80" i="1"/>
  <c r="Y53" i="1"/>
  <c r="Y134" i="1"/>
  <c r="Y78" i="1"/>
  <c r="Y19" i="1"/>
  <c r="Y101" i="1"/>
  <c r="Y56" i="1"/>
  <c r="Y52" i="1"/>
  <c r="Y112" i="1"/>
  <c r="Y83" i="1"/>
  <c r="Y86" i="1"/>
  <c r="Y107" i="1"/>
  <c r="Y45" i="1"/>
  <c r="Y60" i="1"/>
  <c r="Y63" i="1"/>
  <c r="Y167" i="1"/>
  <c r="Y171" i="1"/>
  <c r="Y175" i="1"/>
  <c r="Y179" i="1"/>
  <c r="Y183" i="1"/>
  <c r="Y187" i="1"/>
  <c r="Y191" i="1"/>
  <c r="Y195" i="1"/>
  <c r="Y199" i="1"/>
  <c r="Y62" i="1"/>
  <c r="Y12" i="1"/>
  <c r="Y26" i="1"/>
  <c r="Y158" i="1"/>
  <c r="Y164" i="1"/>
  <c r="Y161" i="1"/>
  <c r="Y49" i="1"/>
  <c r="Y24" i="1"/>
  <c r="Y119" i="1"/>
  <c r="Y114" i="1"/>
  <c r="Y59" i="1"/>
  <c r="Y120" i="1"/>
  <c r="Y57" i="1"/>
  <c r="Y146" i="1"/>
  <c r="Y54" i="1"/>
  <c r="Y82" i="1"/>
  <c r="Y149" i="1"/>
  <c r="Y72" i="1"/>
  <c r="Y25" i="1"/>
  <c r="Y27" i="1"/>
  <c r="Y8" i="1"/>
  <c r="Y14" i="1"/>
  <c r="Y152" i="1"/>
  <c r="Y33" i="1"/>
  <c r="Y29" i="1"/>
  <c r="Y4" i="1"/>
  <c r="Y69" i="1"/>
  <c r="Y17" i="1"/>
  <c r="Y39" i="1"/>
  <c r="Y92" i="1"/>
  <c r="Y89" i="1"/>
  <c r="Y126" i="1"/>
  <c r="Y166" i="1"/>
  <c r="Y170" i="1"/>
  <c r="Y174" i="1"/>
  <c r="Y178" i="1"/>
  <c r="Y182" i="1"/>
  <c r="Y186" i="1"/>
  <c r="Y190" i="1"/>
  <c r="Y194" i="1"/>
  <c r="Y198" i="1"/>
  <c r="Y127" i="1"/>
  <c r="W142" i="1"/>
  <c r="W129" i="1"/>
  <c r="Y30" i="1"/>
  <c r="W108" i="1"/>
  <c r="Y143" i="1"/>
  <c r="W103" i="1"/>
  <c r="Z103" i="1" s="1"/>
  <c r="Y153" i="1"/>
  <c r="W116" i="1"/>
  <c r="Y95" i="1"/>
  <c r="W130" i="1"/>
  <c r="Y132" i="1"/>
  <c r="W98" i="1"/>
  <c r="Y44" i="1"/>
  <c r="W37" i="1"/>
  <c r="Z37" i="1" s="1"/>
  <c r="Y140" i="1"/>
  <c r="Y84" i="1"/>
  <c r="X197" i="1"/>
  <c r="W180" i="1"/>
  <c r="Y169" i="1"/>
  <c r="W21" i="1"/>
  <c r="Y35" i="1"/>
  <c r="W16" i="1"/>
  <c r="Y70" i="1"/>
  <c r="W28" i="1"/>
  <c r="Y20" i="1"/>
  <c r="W104" i="1"/>
  <c r="Y133" i="1"/>
  <c r="W88" i="1"/>
  <c r="Y71" i="1"/>
  <c r="W113" i="1"/>
  <c r="Y156" i="1"/>
  <c r="W136" i="1"/>
  <c r="Y147" i="1"/>
  <c r="W157" i="1"/>
  <c r="Y7" i="1"/>
  <c r="W172" i="1"/>
  <c r="X30" i="1"/>
  <c r="X143" i="1"/>
  <c r="X153" i="1"/>
  <c r="X95" i="1"/>
  <c r="X132" i="1"/>
  <c r="X44" i="1"/>
  <c r="X140" i="1"/>
  <c r="X84" i="1"/>
  <c r="W184" i="1"/>
  <c r="Y173" i="1"/>
  <c r="W2" i="1"/>
  <c r="Y128" i="1"/>
  <c r="W30" i="1"/>
  <c r="Y110" i="1"/>
  <c r="W143" i="1"/>
  <c r="Y105" i="1"/>
  <c r="W153" i="1"/>
  <c r="Y131" i="1"/>
  <c r="W95" i="1"/>
  <c r="Y125" i="1"/>
  <c r="W132" i="1"/>
  <c r="Y109" i="1"/>
  <c r="W44" i="1"/>
  <c r="Y151" i="1"/>
  <c r="W188" i="1"/>
  <c r="Y177" i="1"/>
  <c r="X173" i="1"/>
  <c r="W40" i="1"/>
  <c r="Y15" i="1"/>
  <c r="W97" i="1"/>
  <c r="Y22" i="1"/>
  <c r="W115" i="1"/>
  <c r="Y34" i="1"/>
  <c r="W5" i="1"/>
  <c r="Y121" i="1"/>
  <c r="W117" i="1"/>
  <c r="Y18" i="1"/>
  <c r="W162" i="1"/>
  <c r="Y138" i="1"/>
  <c r="W13" i="1"/>
  <c r="Y102" i="1"/>
  <c r="W145" i="1"/>
  <c r="Y50" i="1"/>
  <c r="W73" i="1"/>
  <c r="W48" i="1"/>
  <c r="W139" i="1"/>
  <c r="AE150" i="1"/>
  <c r="X128" i="1"/>
  <c r="X148" i="1"/>
  <c r="X110" i="1"/>
  <c r="X105" i="1"/>
  <c r="X131" i="1"/>
  <c r="X125" i="1"/>
  <c r="X109" i="1"/>
  <c r="X151" i="1"/>
  <c r="W192" i="1"/>
  <c r="Y181" i="1"/>
  <c r="X177" i="1"/>
  <c r="W85" i="1"/>
  <c r="W96" i="1"/>
  <c r="W79" i="1"/>
  <c r="Y150" i="1"/>
  <c r="W128" i="1"/>
  <c r="W148" i="1"/>
  <c r="Y23" i="1"/>
  <c r="W110" i="1"/>
  <c r="Y85" i="1"/>
  <c r="W105" i="1"/>
  <c r="Y91" i="1"/>
  <c r="W131" i="1"/>
  <c r="Y123" i="1"/>
  <c r="W125" i="1"/>
  <c r="Y48" i="1"/>
  <c r="W109" i="1"/>
  <c r="Y76" i="1"/>
  <c r="W151" i="1"/>
  <c r="W196" i="1"/>
  <c r="Y185" i="1"/>
  <c r="X181" i="1"/>
  <c r="W168" i="1"/>
  <c r="Z168" i="1" s="1"/>
  <c r="Y36" i="1"/>
  <c r="W61" i="1"/>
  <c r="Y68" i="1"/>
  <c r="W118" i="1"/>
  <c r="Y10" i="1"/>
  <c r="W46" i="1"/>
  <c r="Y41" i="1"/>
  <c r="W42" i="1"/>
  <c r="Z42" i="1" s="1"/>
  <c r="Y38" i="1"/>
  <c r="W141" i="1"/>
  <c r="Z141" i="1" s="1"/>
  <c r="Y137" i="1"/>
  <c r="W93" i="1"/>
  <c r="Y124" i="1"/>
  <c r="W160" i="1"/>
  <c r="Y165" i="1"/>
  <c r="W87" i="1"/>
  <c r="W81" i="1"/>
  <c r="W47" i="1"/>
  <c r="W6" i="1"/>
  <c r="W154" i="1"/>
  <c r="W163" i="1"/>
  <c r="W155" i="1"/>
  <c r="W64" i="1"/>
  <c r="Z64" i="1" s="1"/>
  <c r="W100" i="1"/>
  <c r="W75" i="1"/>
  <c r="W66" i="1"/>
  <c r="W122" i="1"/>
  <c r="W144" i="1"/>
  <c r="W11" i="1"/>
  <c r="W77" i="1"/>
  <c r="W99" i="1"/>
  <c r="Z99" i="1" s="1"/>
  <c r="W111" i="1"/>
  <c r="W90" i="1"/>
  <c r="W80" i="1"/>
  <c r="W53" i="1"/>
  <c r="W134" i="1"/>
  <c r="W78" i="1"/>
  <c r="W19" i="1"/>
  <c r="W101" i="1"/>
  <c r="Z101" i="1" s="1"/>
  <c r="W56" i="1"/>
  <c r="W52" i="1"/>
  <c r="W112" i="1"/>
  <c r="W83" i="1"/>
  <c r="W86" i="1"/>
  <c r="W107" i="1"/>
  <c r="W45" i="1"/>
  <c r="W60" i="1"/>
  <c r="W63" i="1"/>
  <c r="W167" i="1"/>
  <c r="W171" i="1"/>
  <c r="W175" i="1"/>
  <c r="W179" i="1"/>
  <c r="W183" i="1"/>
  <c r="W187" i="1"/>
  <c r="W191" i="1"/>
  <c r="W195" i="1"/>
  <c r="W199" i="1"/>
  <c r="W140" i="1"/>
  <c r="W62" i="1"/>
  <c r="W12" i="1"/>
  <c r="W26" i="1"/>
  <c r="W158" i="1"/>
  <c r="W164" i="1"/>
  <c r="W161" i="1"/>
  <c r="W49" i="1"/>
  <c r="W24" i="1"/>
  <c r="W119" i="1"/>
  <c r="W114" i="1"/>
  <c r="W59" i="1"/>
  <c r="Z59" i="1" s="1"/>
  <c r="W120" i="1"/>
  <c r="W57" i="1"/>
  <c r="W146" i="1"/>
  <c r="Z146" i="1" s="1"/>
  <c r="W54" i="1"/>
  <c r="W82" i="1"/>
  <c r="W149" i="1"/>
  <c r="W72" i="1"/>
  <c r="W25" i="1"/>
  <c r="W27" i="1"/>
  <c r="Z27" i="1" s="1"/>
  <c r="W8" i="1"/>
  <c r="W14" i="1"/>
  <c r="Z14" i="1" s="1"/>
  <c r="W152" i="1"/>
  <c r="W33" i="1"/>
  <c r="W29" i="1"/>
  <c r="W4" i="1"/>
  <c r="W69" i="1"/>
  <c r="W17" i="1"/>
  <c r="W39" i="1"/>
  <c r="W92" i="1"/>
  <c r="Z92" i="1" s="1"/>
  <c r="W89" i="1"/>
  <c r="W126" i="1"/>
  <c r="W166" i="1"/>
  <c r="W170" i="1"/>
  <c r="W174" i="1"/>
  <c r="Z174" i="1" s="1"/>
  <c r="W178" i="1"/>
  <c r="Z178" i="1" s="1"/>
  <c r="W182" i="1"/>
  <c r="W186" i="1"/>
  <c r="W190" i="1"/>
  <c r="W194" i="1"/>
  <c r="W198" i="1"/>
  <c r="W127" i="1"/>
  <c r="W43" i="1"/>
  <c r="W7" i="1"/>
  <c r="W50" i="1"/>
  <c r="W165" i="1"/>
  <c r="W159" i="1"/>
  <c r="W147" i="1"/>
  <c r="W102" i="1"/>
  <c r="W124" i="1"/>
  <c r="W9" i="1"/>
  <c r="Z9" i="1" s="1"/>
  <c r="W156" i="1"/>
  <c r="W138" i="1"/>
  <c r="W137" i="1"/>
  <c r="Z137" i="1" s="1"/>
  <c r="W58" i="1"/>
  <c r="W71" i="1"/>
  <c r="W18" i="1"/>
  <c r="W38" i="1"/>
  <c r="W32" i="1"/>
  <c r="W133" i="1"/>
  <c r="W121" i="1"/>
  <c r="W41" i="1"/>
  <c r="W135" i="1"/>
  <c r="W20" i="1"/>
  <c r="W34" i="1"/>
  <c r="W10" i="1"/>
  <c r="W55" i="1"/>
  <c r="W70" i="1"/>
  <c r="W22" i="1"/>
  <c r="Z22" i="1" s="1"/>
  <c r="W68" i="1"/>
  <c r="W51" i="1"/>
  <c r="W35" i="1"/>
  <c r="W15" i="1"/>
  <c r="W36" i="1"/>
  <c r="W106" i="1"/>
  <c r="Z106" i="1" s="1"/>
  <c r="W169" i="1"/>
  <c r="W173" i="1"/>
  <c r="W177" i="1"/>
  <c r="W181" i="1"/>
  <c r="W185" i="1"/>
  <c r="W189" i="1"/>
  <c r="W193" i="1"/>
  <c r="W197" i="1"/>
  <c r="Z197" i="1" s="1"/>
  <c r="W84" i="1"/>
  <c r="W23" i="1"/>
  <c r="W91" i="1"/>
  <c r="W3" i="1"/>
  <c r="Y129" i="1"/>
  <c r="X150" i="1"/>
  <c r="X23" i="1"/>
  <c r="X85" i="1"/>
  <c r="Z85" i="1" s="1"/>
  <c r="X91" i="1"/>
  <c r="X123" i="1"/>
  <c r="Z123" i="1" s="1"/>
  <c r="X48" i="1"/>
  <c r="X76" i="1"/>
  <c r="W200" i="1"/>
  <c r="Y189" i="1"/>
  <c r="Z189" i="1" s="1"/>
  <c r="X185" i="1"/>
  <c r="AE126" i="1"/>
  <c r="AE146" i="1"/>
  <c r="AE57" i="1"/>
  <c r="AE120" i="1"/>
  <c r="AE96" i="1"/>
  <c r="AE92" i="1"/>
  <c r="Z136" i="1"/>
  <c r="AE63" i="1"/>
  <c r="AE118" i="1"/>
  <c r="AE46" i="1"/>
  <c r="AE5" i="1"/>
  <c r="AE166" i="1"/>
  <c r="AE67" i="1"/>
  <c r="AE196" i="1"/>
  <c r="AE40" i="1"/>
  <c r="AE80" i="1"/>
  <c r="AE128" i="1"/>
  <c r="AE110" i="1"/>
  <c r="AE131" i="1"/>
  <c r="AE125" i="1"/>
  <c r="AE109" i="1"/>
  <c r="AE151" i="1"/>
  <c r="AE176" i="1"/>
  <c r="AE115" i="1"/>
  <c r="AE66" i="1"/>
  <c r="AE100" i="1"/>
  <c r="AE26" i="1"/>
  <c r="AE141" i="1"/>
  <c r="Z120" i="1"/>
  <c r="AE88" i="1"/>
  <c r="AE70" i="1"/>
  <c r="AE25" i="1"/>
  <c r="AE79" i="1"/>
  <c r="AE127" i="1"/>
  <c r="AE178" i="1"/>
  <c r="AE143" i="1"/>
  <c r="AE39" i="1"/>
  <c r="AE33" i="1"/>
  <c r="AE105" i="1"/>
  <c r="Z116" i="1"/>
  <c r="Z130" i="1"/>
  <c r="AE186" i="1"/>
  <c r="AE174" i="1"/>
  <c r="AE173" i="1"/>
  <c r="AE21" i="1"/>
  <c r="AE65" i="1"/>
  <c r="AE61" i="1"/>
  <c r="AE4" i="1"/>
  <c r="AE135" i="1"/>
  <c r="AE74" i="1"/>
  <c r="AE42" i="1"/>
  <c r="AE117" i="1"/>
  <c r="Z156" i="1"/>
  <c r="AE43" i="1"/>
  <c r="Y148" i="1"/>
  <c r="AE76" i="1"/>
  <c r="AE200" i="1"/>
  <c r="AE188" i="1"/>
  <c r="AE187" i="1"/>
  <c r="AE36" i="1"/>
  <c r="AE97" i="1"/>
  <c r="Z17" i="1"/>
  <c r="AE14" i="1"/>
  <c r="AE8" i="1"/>
  <c r="AE133" i="1"/>
  <c r="AE162" i="1"/>
  <c r="AE113" i="1"/>
  <c r="AE2" i="1"/>
  <c r="AE13" i="1"/>
  <c r="AE12" i="1"/>
  <c r="AE62" i="1"/>
  <c r="AE142" i="1"/>
  <c r="AE23" i="1"/>
  <c r="AE85" i="1"/>
  <c r="AE84" i="1"/>
  <c r="AE192" i="1"/>
  <c r="Z186" i="1"/>
  <c r="AE184" i="1"/>
  <c r="AE170" i="1"/>
  <c r="AE35" i="1"/>
  <c r="AE16" i="1"/>
  <c r="AE3" i="1"/>
  <c r="AE56" i="1"/>
  <c r="AE27" i="1"/>
  <c r="Z11" i="1"/>
  <c r="AE93" i="1"/>
  <c r="AE136" i="1"/>
  <c r="AE145" i="1"/>
  <c r="W67" i="1"/>
  <c r="AE198" i="1"/>
  <c r="AE51" i="1"/>
  <c r="AE19" i="1"/>
  <c r="AE72" i="1"/>
  <c r="AE137" i="1"/>
  <c r="AE160" i="1"/>
  <c r="X67" i="1"/>
  <c r="AE103" i="1"/>
  <c r="AE116" i="1"/>
  <c r="AE193" i="1"/>
  <c r="AE190" i="1"/>
  <c r="AE189" i="1"/>
  <c r="AE180" i="1"/>
  <c r="AE172" i="1"/>
  <c r="AE69" i="1"/>
  <c r="AE22" i="1"/>
  <c r="AE28" i="1"/>
  <c r="AE139" i="1"/>
  <c r="AE82" i="1"/>
  <c r="AE114" i="1"/>
  <c r="AE73" i="1"/>
  <c r="AE30" i="1"/>
  <c r="AE153" i="1"/>
  <c r="AE132" i="1"/>
  <c r="AE194" i="1"/>
  <c r="AE181" i="1"/>
  <c r="AE168" i="1"/>
  <c r="AE45" i="1"/>
  <c r="AE17" i="1"/>
  <c r="AE29" i="1"/>
  <c r="AE10" i="1"/>
  <c r="AE104" i="1"/>
  <c r="AE111" i="1"/>
  <c r="AE24" i="1"/>
  <c r="AE161" i="1"/>
  <c r="AE164" i="1"/>
  <c r="AE158" i="1"/>
  <c r="AE50" i="1"/>
  <c r="AE148" i="1"/>
  <c r="AD129" i="1"/>
  <c r="AE129" i="1" s="1"/>
  <c r="AE98" i="1"/>
  <c r="AE54" i="1"/>
  <c r="AE18" i="1"/>
  <c r="AE119" i="1"/>
  <c r="AE9" i="1"/>
  <c r="AE147" i="1"/>
  <c r="AE91" i="1"/>
  <c r="AE37" i="1"/>
  <c r="AE195" i="1"/>
  <c r="AE177" i="1"/>
  <c r="AE171" i="1"/>
  <c r="AE81" i="1"/>
  <c r="AE123" i="1"/>
  <c r="AE44" i="1"/>
  <c r="AE152" i="1"/>
  <c r="AE34" i="1"/>
  <c r="AE149" i="1"/>
  <c r="AE32" i="1"/>
  <c r="AE71" i="1"/>
  <c r="AE59" i="1"/>
  <c r="AE138" i="1"/>
  <c r="AE124" i="1"/>
  <c r="AE155" i="1"/>
  <c r="AE159" i="1"/>
  <c r="Z158" i="1"/>
  <c r="AE197" i="1"/>
  <c r="AE41" i="1"/>
  <c r="AE7" i="1"/>
  <c r="AE48" i="1"/>
  <c r="AE140" i="1"/>
  <c r="AE49" i="1"/>
  <c r="AE102" i="1"/>
  <c r="Z161" i="1"/>
  <c r="AE108" i="1"/>
  <c r="AE95" i="1"/>
  <c r="AE130" i="1"/>
  <c r="AE89" i="1"/>
  <c r="AE15" i="1"/>
  <c r="AE55" i="1"/>
  <c r="AE20" i="1"/>
  <c r="AE121" i="1"/>
  <c r="AE38" i="1"/>
  <c r="AE77" i="1"/>
  <c r="AE58" i="1"/>
  <c r="AE156" i="1"/>
  <c r="AE165" i="1"/>
  <c r="Z26" i="1"/>
  <c r="AE169" i="1"/>
  <c r="AE68" i="1"/>
  <c r="AE112" i="1"/>
  <c r="Z78" i="1"/>
  <c r="AE199" i="1"/>
  <c r="AE167" i="1"/>
  <c r="AE175" i="1"/>
  <c r="AE83" i="1"/>
  <c r="AE53" i="1"/>
  <c r="AE122" i="1"/>
  <c r="AE6" i="1"/>
  <c r="AE75" i="1"/>
  <c r="AE179" i="1"/>
  <c r="AE86" i="1"/>
  <c r="AE134" i="1"/>
  <c r="AE144" i="1"/>
  <c r="AE154" i="1"/>
  <c r="AE52" i="1"/>
  <c r="AE90" i="1"/>
  <c r="AE191" i="1"/>
  <c r="AE60" i="1"/>
  <c r="AE101" i="1"/>
  <c r="AE99" i="1"/>
  <c r="AE64" i="1"/>
  <c r="AE87" i="1"/>
  <c r="AE47" i="1"/>
  <c r="AE183" i="1"/>
  <c r="AE107" i="1"/>
  <c r="AE78" i="1"/>
  <c r="AE11" i="1"/>
  <c r="AE163" i="1"/>
  <c r="AH1" i="1"/>
  <c r="Z192" i="1" l="1"/>
  <c r="Z88" i="1"/>
  <c r="Z21" i="1"/>
  <c r="Z31" i="1"/>
  <c r="Z183" i="1"/>
  <c r="Z163" i="1"/>
  <c r="Z28" i="1"/>
  <c r="Z94" i="1"/>
  <c r="Z110" i="1"/>
  <c r="Z198" i="1"/>
  <c r="Z128" i="1"/>
  <c r="Z185" i="1"/>
  <c r="Z150" i="1"/>
  <c r="Z170" i="1"/>
  <c r="Z72" i="1"/>
  <c r="Z12" i="1"/>
  <c r="Z175" i="1"/>
  <c r="Z83" i="1"/>
  <c r="Z6" i="1"/>
  <c r="Z184" i="1"/>
  <c r="Z177" i="1"/>
  <c r="Z173" i="1"/>
  <c r="Z143" i="1"/>
  <c r="Z7" i="1"/>
  <c r="Z169" i="1"/>
  <c r="Z193" i="1"/>
  <c r="Z160" i="1"/>
  <c r="Z124" i="1"/>
  <c r="Z127" i="1"/>
  <c r="Z41" i="1"/>
  <c r="Z165" i="1"/>
  <c r="Z151" i="1"/>
  <c r="Z84" i="1"/>
  <c r="Z191" i="1"/>
  <c r="Z118" i="1"/>
  <c r="Z93" i="1"/>
  <c r="Z129" i="1"/>
  <c r="Z16" i="1"/>
  <c r="Z113" i="1"/>
  <c r="Z157" i="1"/>
  <c r="Z194" i="1"/>
  <c r="Z126" i="1"/>
  <c r="Z33" i="1"/>
  <c r="Z3" i="1"/>
  <c r="Z51" i="1"/>
  <c r="Z135" i="1"/>
  <c r="Z58" i="1"/>
  <c r="Z159" i="1"/>
  <c r="Z190" i="1"/>
  <c r="Z152" i="1"/>
  <c r="Z54" i="1"/>
  <c r="Z196" i="1"/>
  <c r="Z125" i="1"/>
  <c r="Z132" i="1"/>
  <c r="Z24" i="1"/>
  <c r="Z181" i="1"/>
  <c r="Z199" i="1"/>
  <c r="Z167" i="1"/>
  <c r="Z75" i="1"/>
  <c r="Z81" i="1"/>
  <c r="Z36" i="1"/>
  <c r="Z23" i="1"/>
  <c r="Z153" i="1"/>
  <c r="Z71" i="1"/>
  <c r="Z35" i="1"/>
  <c r="Z44" i="1"/>
  <c r="Z195" i="1"/>
  <c r="Z63" i="1"/>
  <c r="Z56" i="1"/>
  <c r="Z111" i="1"/>
  <c r="Z100" i="1"/>
  <c r="Z172" i="1"/>
  <c r="Z176" i="1"/>
  <c r="Z108" i="1"/>
  <c r="Z180" i="1"/>
  <c r="Z145" i="1"/>
  <c r="Z34" i="1"/>
  <c r="Z166" i="1"/>
  <c r="Z149" i="1"/>
  <c r="Z62" i="1"/>
  <c r="Z171" i="1"/>
  <c r="Z80" i="1"/>
  <c r="Z66" i="1"/>
  <c r="Z60" i="1"/>
  <c r="Z107" i="1"/>
  <c r="Z114" i="1"/>
  <c r="Z122" i="1"/>
  <c r="Z61" i="1"/>
  <c r="Z68" i="1"/>
  <c r="Z105" i="1"/>
  <c r="Z70" i="1"/>
  <c r="Z112" i="1"/>
  <c r="Z96" i="1"/>
  <c r="Z55" i="1"/>
  <c r="Z43" i="1"/>
  <c r="Z131" i="1"/>
  <c r="Z82" i="1"/>
  <c r="Z52" i="1"/>
  <c r="Z38" i="1"/>
  <c r="Z162" i="1"/>
  <c r="Z29" i="1"/>
  <c r="Z53" i="1"/>
  <c r="Z25" i="1"/>
  <c r="Z2" i="1"/>
  <c r="Z47" i="1"/>
  <c r="Z133" i="1"/>
  <c r="Z32" i="1"/>
  <c r="Z49" i="1"/>
  <c r="Z69" i="1"/>
  <c r="Z90" i="1"/>
  <c r="Z46" i="1"/>
  <c r="Z4" i="1"/>
  <c r="Z119" i="1"/>
  <c r="Z109" i="1"/>
  <c r="Z76" i="1"/>
  <c r="Z89" i="1"/>
  <c r="Z87" i="1"/>
  <c r="Z97" i="1"/>
  <c r="Z104" i="1"/>
  <c r="Z10" i="1"/>
  <c r="Z91" i="1"/>
  <c r="Z79" i="1"/>
  <c r="Z48" i="1"/>
  <c r="Z18" i="1"/>
  <c r="Z15" i="1"/>
  <c r="Z30" i="1"/>
  <c r="Z147" i="1"/>
  <c r="Z20" i="1"/>
  <c r="Z95" i="1"/>
  <c r="Z179" i="1"/>
  <c r="Z86" i="1"/>
  <c r="Z134" i="1"/>
  <c r="Z144" i="1"/>
  <c r="Z154" i="1"/>
  <c r="Z74" i="1"/>
  <c r="Z98" i="1"/>
  <c r="Z40" i="1"/>
  <c r="Z115" i="1"/>
  <c r="Z13" i="1"/>
  <c r="Z73" i="1"/>
  <c r="Z121" i="1"/>
  <c r="Z138" i="1"/>
  <c r="Z50" i="1"/>
  <c r="Z182" i="1"/>
  <c r="Z39" i="1"/>
  <c r="Z8" i="1"/>
  <c r="Z57" i="1"/>
  <c r="Z164" i="1"/>
  <c r="Z187" i="1"/>
  <c r="Z45" i="1"/>
  <c r="Z19" i="1"/>
  <c r="Z77" i="1"/>
  <c r="Z155" i="1"/>
  <c r="Z148" i="1"/>
  <c r="Z5" i="1"/>
  <c r="Z140" i="1"/>
  <c r="Z142" i="1"/>
  <c r="Z117" i="1"/>
  <c r="Z188" i="1"/>
  <c r="Z139" i="1"/>
  <c r="Z200" i="1"/>
  <c r="Z65" i="1"/>
  <c r="Z67" i="1"/>
  <c r="V132" i="1"/>
  <c r="V125" i="1"/>
  <c r="V123" i="1"/>
  <c r="V130" i="1"/>
  <c r="V95" i="1"/>
  <c r="V131" i="1"/>
  <c r="V124" i="1"/>
  <c r="V75" i="1"/>
  <c r="V93" i="1"/>
  <c r="V122" i="1"/>
  <c r="V57" i="1"/>
  <c r="V141" i="1"/>
  <c r="V71" i="1"/>
  <c r="V90" i="1"/>
  <c r="V46" i="1"/>
  <c r="V10" i="1"/>
  <c r="V52" i="1"/>
  <c r="V22" i="1"/>
  <c r="V69" i="1"/>
  <c r="V16" i="1"/>
  <c r="V86" i="1"/>
  <c r="V51" i="1"/>
  <c r="V91" i="1"/>
  <c r="V116" i="1"/>
  <c r="V153" i="1"/>
  <c r="V105" i="1"/>
  <c r="V85" i="1"/>
  <c r="V103" i="1"/>
  <c r="V143" i="1"/>
  <c r="V110" i="1"/>
  <c r="V24" i="1"/>
  <c r="V100" i="1"/>
  <c r="V114" i="1"/>
  <c r="V99" i="1"/>
  <c r="V117" i="1"/>
  <c r="V121" i="1"/>
  <c r="V5" i="1"/>
  <c r="V78" i="1"/>
  <c r="V55" i="1"/>
  <c r="V68" i="1"/>
  <c r="V23" i="1"/>
  <c r="V108" i="1"/>
  <c r="V30" i="1"/>
  <c r="V87" i="1"/>
  <c r="V73" i="1"/>
  <c r="V43" i="1"/>
  <c r="V62" i="1"/>
  <c r="V81" i="1"/>
  <c r="V49" i="1"/>
  <c r="V64" i="1"/>
  <c r="V13" i="1"/>
  <c r="V66" i="1"/>
  <c r="V113" i="1"/>
  <c r="V137" i="1"/>
  <c r="V32" i="1"/>
  <c r="V133" i="1"/>
  <c r="V104" i="1"/>
  <c r="V27" i="1"/>
  <c r="V20" i="1"/>
  <c r="V28" i="1"/>
  <c r="V56" i="1"/>
  <c r="V70" i="1"/>
  <c r="V17" i="1"/>
  <c r="V39" i="1"/>
  <c r="V31" i="1"/>
  <c r="V7" i="1"/>
  <c r="V12" i="1"/>
  <c r="V47" i="1"/>
  <c r="V79" i="1"/>
  <c r="V50" i="1"/>
  <c r="V26" i="1"/>
  <c r="V6" i="1"/>
  <c r="V2" i="1"/>
  <c r="V120" i="1"/>
  <c r="V11" i="1"/>
  <c r="V18" i="1"/>
  <c r="V25" i="1"/>
  <c r="V53" i="1"/>
  <c r="V41" i="1"/>
  <c r="V8" i="1"/>
  <c r="V34" i="1"/>
  <c r="V29" i="1"/>
  <c r="V3" i="1"/>
  <c r="V61" i="1"/>
  <c r="V15" i="1"/>
  <c r="V157" i="1"/>
  <c r="V165" i="1"/>
  <c r="V158" i="1"/>
  <c r="V154" i="1"/>
  <c r="V145" i="1"/>
  <c r="V159" i="1"/>
  <c r="V164" i="1"/>
  <c r="V163" i="1"/>
  <c r="V160" i="1"/>
  <c r="V147" i="1"/>
  <c r="V161" i="1"/>
  <c r="V155" i="1"/>
  <c r="V144" i="1"/>
  <c r="V162" i="1"/>
  <c r="V146" i="1"/>
  <c r="V82" i="1"/>
  <c r="V111" i="1"/>
  <c r="V134" i="1"/>
  <c r="V135" i="1"/>
  <c r="V35" i="1"/>
  <c r="V60" i="1"/>
  <c r="V21" i="1"/>
  <c r="V94" i="1"/>
  <c r="V54" i="1"/>
  <c r="V118" i="1"/>
  <c r="V38" i="1"/>
  <c r="V80" i="1"/>
  <c r="V74" i="1"/>
  <c r="V97" i="1"/>
  <c r="V65" i="1"/>
  <c r="V40" i="1"/>
  <c r="V36" i="1"/>
  <c r="V126" i="1"/>
  <c r="V106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148" i="1"/>
  <c r="V129" i="1"/>
  <c r="V128" i="1"/>
  <c r="V150" i="1"/>
  <c r="V142" i="1"/>
  <c r="V84" i="1"/>
  <c r="V127" i="1"/>
  <c r="V140" i="1"/>
  <c r="V151" i="1"/>
  <c r="V9" i="1"/>
  <c r="V156" i="1"/>
  <c r="V138" i="1"/>
  <c r="V77" i="1"/>
  <c r="V96" i="1"/>
  <c r="V149" i="1"/>
  <c r="V14" i="1"/>
  <c r="V139" i="1"/>
  <c r="V101" i="1"/>
  <c r="V112" i="1"/>
  <c r="V107" i="1"/>
  <c r="V89" i="1"/>
  <c r="V63" i="1"/>
  <c r="V76" i="1"/>
  <c r="V37" i="1"/>
  <c r="V44" i="1"/>
  <c r="V109" i="1"/>
  <c r="V48" i="1"/>
  <c r="V98" i="1"/>
  <c r="V102" i="1"/>
  <c r="V136" i="1"/>
  <c r="V119" i="1"/>
  <c r="V59" i="1"/>
  <c r="V58" i="1"/>
  <c r="V88" i="1"/>
  <c r="V72" i="1"/>
  <c r="V19" i="1"/>
  <c r="V152" i="1"/>
  <c r="V33" i="1"/>
  <c r="V115" i="1"/>
  <c r="V4" i="1"/>
  <c r="V83" i="1"/>
  <c r="V92" i="1"/>
  <c r="V45" i="1"/>
  <c r="V67" i="1"/>
  <c r="A36" i="3" l="1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2" i="3"/>
  <c r="E3" i="2" l="1"/>
  <c r="C6" i="3"/>
  <c r="E2" i="2"/>
  <c r="B38" i="3"/>
  <c r="C51" i="3"/>
  <c r="C47" i="3"/>
  <c r="C95" i="3"/>
  <c r="C91" i="3"/>
  <c r="C83" i="3"/>
  <c r="C59" i="3"/>
  <c r="C43" i="3"/>
  <c r="C5" i="3"/>
  <c r="C39" i="3"/>
  <c r="C93" i="3"/>
  <c r="C85" i="3"/>
  <c r="C8" i="3"/>
  <c r="C35" i="3"/>
  <c r="C92" i="3"/>
  <c r="C84" i="3"/>
  <c r="C80" i="3"/>
  <c r="C68" i="3"/>
  <c r="C44" i="3"/>
  <c r="C32" i="3"/>
  <c r="C28" i="3"/>
  <c r="C56" i="3"/>
  <c r="C48" i="3"/>
  <c r="C88" i="3"/>
  <c r="C40" i="3"/>
  <c r="C81" i="3"/>
  <c r="C57" i="3"/>
  <c r="C49" i="3"/>
  <c r="C41" i="3"/>
  <c r="C37" i="3"/>
  <c r="C53" i="3"/>
  <c r="C45" i="3"/>
  <c r="C33" i="3"/>
  <c r="C4" i="3"/>
  <c r="C74" i="3"/>
  <c r="C66" i="3"/>
  <c r="C62" i="3"/>
  <c r="C58" i="3"/>
  <c r="C46" i="3"/>
  <c r="C42" i="3"/>
  <c r="C90" i="3"/>
  <c r="C72" i="3"/>
  <c r="C64" i="3"/>
  <c r="C27" i="3"/>
  <c r="C3" i="3"/>
  <c r="C197" i="3"/>
  <c r="C193" i="3"/>
  <c r="C189" i="3"/>
  <c r="C185" i="3"/>
  <c r="C181" i="3"/>
  <c r="C177" i="3"/>
  <c r="C173" i="3"/>
  <c r="C169" i="3"/>
  <c r="C165" i="3"/>
  <c r="C161" i="3"/>
  <c r="C109" i="3"/>
  <c r="C105" i="3"/>
  <c r="C101" i="3"/>
  <c r="C97" i="3"/>
  <c r="C73" i="3"/>
  <c r="C69" i="3"/>
  <c r="C65" i="3"/>
  <c r="C24" i="3"/>
  <c r="C198" i="3"/>
  <c r="C194" i="3"/>
  <c r="C190" i="3"/>
  <c r="C186" i="3"/>
  <c r="C182" i="3"/>
  <c r="C178" i="3"/>
  <c r="C174" i="3"/>
  <c r="C170" i="3"/>
  <c r="C166" i="3"/>
  <c r="C162" i="3"/>
  <c r="C78" i="3"/>
  <c r="C29" i="3"/>
  <c r="C25" i="3"/>
  <c r="C9" i="3"/>
  <c r="C199" i="3"/>
  <c r="C195" i="3"/>
  <c r="C191" i="3"/>
  <c r="C187" i="3"/>
  <c r="C183" i="3"/>
  <c r="C179" i="3"/>
  <c r="C175" i="3"/>
  <c r="C171" i="3"/>
  <c r="C167" i="3"/>
  <c r="C163" i="3"/>
  <c r="C159" i="3"/>
  <c r="C155" i="3"/>
  <c r="C151" i="3"/>
  <c r="C147" i="3"/>
  <c r="C143" i="3"/>
  <c r="C139" i="3"/>
  <c r="C135" i="3"/>
  <c r="C131" i="3"/>
  <c r="C127" i="3"/>
  <c r="C123" i="3"/>
  <c r="C119" i="3"/>
  <c r="C115" i="3"/>
  <c r="C111" i="3"/>
  <c r="C107" i="3"/>
  <c r="C103" i="3"/>
  <c r="C99" i="3"/>
  <c r="C79" i="3"/>
  <c r="C75" i="3"/>
  <c r="C67" i="3"/>
  <c r="C63" i="3"/>
  <c r="C7" i="3"/>
  <c r="C200" i="3"/>
  <c r="C196" i="3"/>
  <c r="C192" i="3"/>
  <c r="C188" i="3"/>
  <c r="C184" i="3"/>
  <c r="C180" i="3"/>
  <c r="C176" i="3"/>
  <c r="C172" i="3"/>
  <c r="C168" i="3"/>
  <c r="C164" i="3"/>
  <c r="C160" i="3"/>
  <c r="C156" i="3"/>
  <c r="C76" i="3"/>
  <c r="C54" i="3"/>
  <c r="C50" i="3"/>
  <c r="C86" i="3"/>
  <c r="C82" i="3"/>
  <c r="C38" i="3"/>
  <c r="C34" i="3"/>
  <c r="C60" i="3"/>
  <c r="C30" i="3"/>
  <c r="C26" i="3"/>
  <c r="C52" i="3"/>
  <c r="C22" i="3"/>
  <c r="C70" i="3"/>
  <c r="C36" i="3"/>
  <c r="B34" i="3"/>
  <c r="B48" i="3"/>
  <c r="B32" i="3"/>
  <c r="B85" i="3"/>
  <c r="B8" i="3"/>
  <c r="B66" i="3"/>
  <c r="B105" i="3"/>
  <c r="B101" i="3"/>
  <c r="B97" i="3"/>
  <c r="B93" i="3"/>
  <c r="B80" i="3"/>
  <c r="B62" i="3"/>
  <c r="B4" i="3"/>
  <c r="B54" i="3"/>
  <c r="B50" i="3"/>
  <c r="B6" i="3"/>
  <c r="B82" i="3"/>
  <c r="B77" i="3"/>
  <c r="B64" i="3"/>
  <c r="B56" i="3"/>
  <c r="B22" i="3"/>
  <c r="B200" i="3"/>
  <c r="B196" i="3"/>
  <c r="B192" i="3"/>
  <c r="B188" i="3"/>
  <c r="B184" i="3"/>
  <c r="B180" i="3"/>
  <c r="B176" i="3"/>
  <c r="B172" i="3"/>
  <c r="B168" i="3"/>
  <c r="B164" i="3"/>
  <c r="B160" i="3"/>
  <c r="B88" i="3"/>
  <c r="B40" i="3"/>
  <c r="B3" i="3"/>
  <c r="B197" i="3"/>
  <c r="B193" i="3"/>
  <c r="B189" i="3"/>
  <c r="B185" i="3"/>
  <c r="B181" i="3"/>
  <c r="B177" i="3"/>
  <c r="B173" i="3"/>
  <c r="B169" i="3"/>
  <c r="B165" i="3"/>
  <c r="B161" i="3"/>
  <c r="B157" i="3"/>
  <c r="B153" i="3"/>
  <c r="B149" i="3"/>
  <c r="B145" i="3"/>
  <c r="B141" i="3"/>
  <c r="B137" i="3"/>
  <c r="B133" i="3"/>
  <c r="B129" i="3"/>
  <c r="B125" i="3"/>
  <c r="B121" i="3"/>
  <c r="B117" i="3"/>
  <c r="B113" i="3"/>
  <c r="B109" i="3"/>
  <c r="B24" i="3"/>
  <c r="B5" i="3"/>
  <c r="B198" i="3"/>
  <c r="B194" i="3"/>
  <c r="B190" i="3"/>
  <c r="B186" i="3"/>
  <c r="B182" i="3"/>
  <c r="B178" i="3"/>
  <c r="B174" i="3"/>
  <c r="B170" i="3"/>
  <c r="B166" i="3"/>
  <c r="B162" i="3"/>
  <c r="B72" i="3"/>
  <c r="B46" i="3"/>
  <c r="B42" i="3"/>
  <c r="B7" i="3"/>
  <c r="B199" i="3"/>
  <c r="B195" i="3"/>
  <c r="B191" i="3"/>
  <c r="B187" i="3"/>
  <c r="B183" i="3"/>
  <c r="B179" i="3"/>
  <c r="B175" i="3"/>
  <c r="B171" i="3"/>
  <c r="B167" i="3"/>
  <c r="B163" i="3"/>
  <c r="B159" i="3"/>
  <c r="B155" i="3"/>
  <c r="B151" i="3"/>
  <c r="B147" i="3"/>
  <c r="B143" i="3"/>
  <c r="B139" i="3"/>
  <c r="B135" i="3"/>
  <c r="B131" i="3"/>
  <c r="B127" i="3"/>
  <c r="B123" i="3"/>
  <c r="B119" i="3"/>
  <c r="B115" i="3"/>
  <c r="B111" i="3"/>
  <c r="B107" i="3"/>
  <c r="B103" i="3"/>
  <c r="B99" i="3"/>
  <c r="B95" i="3"/>
  <c r="B69" i="3"/>
  <c r="B30" i="3"/>
  <c r="B26" i="3"/>
  <c r="B9" i="3"/>
  <c r="C21" i="3"/>
  <c r="C20" i="3"/>
  <c r="B19" i="3"/>
  <c r="C19" i="3"/>
  <c r="B18" i="3"/>
  <c r="C18" i="3"/>
  <c r="C17" i="3"/>
  <c r="B17" i="3"/>
  <c r="C16" i="3"/>
  <c r="B16" i="3"/>
  <c r="B15" i="3"/>
  <c r="C15" i="3"/>
  <c r="B14" i="3"/>
  <c r="C14" i="3"/>
  <c r="C13" i="3"/>
  <c r="B13" i="3"/>
  <c r="C12" i="3"/>
  <c r="B12" i="3"/>
  <c r="B11" i="3"/>
  <c r="C11" i="3"/>
  <c r="B10" i="3"/>
  <c r="C10" i="3"/>
  <c r="C153" i="3"/>
  <c r="C145" i="3"/>
  <c r="C137" i="3"/>
  <c r="C133" i="3"/>
  <c r="C129" i="3"/>
  <c r="C125" i="3"/>
  <c r="C121" i="3"/>
  <c r="C117" i="3"/>
  <c r="C113" i="3"/>
  <c r="C157" i="3"/>
  <c r="C149" i="3"/>
  <c r="C141" i="3"/>
  <c r="B156" i="3"/>
  <c r="B152" i="3"/>
  <c r="B148" i="3"/>
  <c r="B144" i="3"/>
  <c r="B140" i="3"/>
  <c r="B136" i="3"/>
  <c r="B132" i="3"/>
  <c r="B128" i="3"/>
  <c r="B124" i="3"/>
  <c r="B120" i="3"/>
  <c r="B116" i="3"/>
  <c r="B112" i="3"/>
  <c r="B108" i="3"/>
  <c r="B104" i="3"/>
  <c r="B100" i="3"/>
  <c r="B96" i="3"/>
  <c r="C89" i="3"/>
  <c r="C61" i="3"/>
  <c r="C31" i="3"/>
  <c r="C158" i="3"/>
  <c r="C154" i="3"/>
  <c r="C150" i="3"/>
  <c r="C146" i="3"/>
  <c r="C142" i="3"/>
  <c r="C138" i="3"/>
  <c r="C134" i="3"/>
  <c r="C130" i="3"/>
  <c r="C126" i="3"/>
  <c r="C122" i="3"/>
  <c r="C118" i="3"/>
  <c r="C114" i="3"/>
  <c r="C110" i="3"/>
  <c r="C106" i="3"/>
  <c r="C102" i="3"/>
  <c r="C98" i="3"/>
  <c r="C94" i="3"/>
  <c r="B74" i="3"/>
  <c r="C71" i="3"/>
  <c r="C23" i="3"/>
  <c r="B158" i="3"/>
  <c r="B154" i="3"/>
  <c r="B150" i="3"/>
  <c r="B146" i="3"/>
  <c r="B142" i="3"/>
  <c r="B138" i="3"/>
  <c r="B134" i="3"/>
  <c r="B130" i="3"/>
  <c r="B126" i="3"/>
  <c r="B122" i="3"/>
  <c r="B118" i="3"/>
  <c r="B114" i="3"/>
  <c r="B110" i="3"/>
  <c r="B106" i="3"/>
  <c r="B102" i="3"/>
  <c r="B98" i="3"/>
  <c r="B94" i="3"/>
  <c r="C77" i="3"/>
  <c r="C152" i="3"/>
  <c r="C148" i="3"/>
  <c r="C144" i="3"/>
  <c r="C140" i="3"/>
  <c r="C136" i="3"/>
  <c r="C132" i="3"/>
  <c r="C128" i="3"/>
  <c r="C124" i="3"/>
  <c r="C120" i="3"/>
  <c r="C116" i="3"/>
  <c r="C112" i="3"/>
  <c r="C108" i="3"/>
  <c r="C104" i="3"/>
  <c r="C100" i="3"/>
  <c r="C96" i="3"/>
  <c r="B90" i="3"/>
  <c r="C87" i="3"/>
  <c r="B58" i="3"/>
  <c r="C55" i="3"/>
  <c r="B91" i="3"/>
  <c r="B83" i="3"/>
  <c r="B75" i="3"/>
  <c r="B67" i="3"/>
  <c r="B59" i="3"/>
  <c r="B51" i="3"/>
  <c r="B43" i="3"/>
  <c r="B35" i="3"/>
  <c r="B27" i="3"/>
  <c r="B92" i="3"/>
  <c r="B84" i="3"/>
  <c r="B76" i="3"/>
  <c r="B68" i="3"/>
  <c r="B60" i="3"/>
  <c r="B52" i="3"/>
  <c r="B44" i="3"/>
  <c r="B36" i="3"/>
  <c r="B28" i="3"/>
  <c r="B20" i="3"/>
  <c r="B61" i="3"/>
  <c r="B53" i="3"/>
  <c r="B45" i="3"/>
  <c r="B37" i="3"/>
  <c r="B29" i="3"/>
  <c r="B21" i="3"/>
  <c r="B86" i="3"/>
  <c r="B78" i="3"/>
  <c r="B70" i="3"/>
  <c r="B87" i="3"/>
  <c r="B79" i="3"/>
  <c r="B71" i="3"/>
  <c r="B63" i="3"/>
  <c r="B55" i="3"/>
  <c r="B47" i="3"/>
  <c r="B39" i="3"/>
  <c r="B31" i="3"/>
  <c r="B23" i="3"/>
  <c r="B89" i="3"/>
  <c r="B81" i="3"/>
  <c r="B73" i="3"/>
  <c r="B65" i="3"/>
  <c r="B57" i="3"/>
  <c r="B49" i="3"/>
  <c r="B41" i="3"/>
  <c r="B33" i="3"/>
  <c r="B25" i="3"/>
  <c r="C2" i="3"/>
  <c r="B2" i="3"/>
  <c r="AA46" i="1" l="1"/>
  <c r="AA61" i="1"/>
  <c r="AA184" i="1"/>
  <c r="AA139" i="1"/>
  <c r="AA16" i="1"/>
  <c r="AA79" i="1"/>
  <c r="AA192" i="1"/>
  <c r="AA94" i="1"/>
  <c r="AA113" i="1"/>
  <c r="AA73" i="1"/>
  <c r="AA88" i="1"/>
  <c r="AA28" i="1"/>
  <c r="AA21" i="1"/>
  <c r="AA200" i="1"/>
  <c r="AA65" i="1"/>
  <c r="AA188" i="1"/>
  <c r="AA157" i="1"/>
  <c r="AA93" i="1"/>
  <c r="AA42" i="1"/>
  <c r="AA118" i="1"/>
  <c r="AA168" i="1"/>
  <c r="AA96" i="1"/>
  <c r="AA176" i="1"/>
  <c r="AA31" i="1"/>
  <c r="AA104" i="1"/>
  <c r="AA141" i="1"/>
  <c r="AA172" i="1"/>
  <c r="AA115" i="1"/>
  <c r="AA160" i="1"/>
  <c r="AA20" i="1"/>
  <c r="AA111" i="1"/>
  <c r="AA8" i="1"/>
  <c r="AA124" i="1"/>
  <c r="AA71" i="1"/>
  <c r="AA178" i="1"/>
  <c r="AA120" i="1"/>
  <c r="AA179" i="1"/>
  <c r="AA194" i="1"/>
  <c r="AA170" i="1"/>
  <c r="AA12" i="1"/>
  <c r="AA49" i="1"/>
  <c r="AA56" i="1"/>
  <c r="AA58" i="1"/>
  <c r="AA154" i="1"/>
  <c r="AA78" i="1"/>
  <c r="AA40" i="1"/>
  <c r="AA97" i="1"/>
  <c r="AA13" i="1"/>
  <c r="AA171" i="1"/>
  <c r="AA164" i="1"/>
  <c r="AA50" i="1"/>
  <c r="AA83" i="1"/>
  <c r="AA146" i="1"/>
  <c r="AA163" i="1"/>
  <c r="AA187" i="1"/>
  <c r="AA29" i="1"/>
  <c r="AA25" i="1"/>
  <c r="AA101" i="1"/>
  <c r="AA182" i="1"/>
  <c r="AA26" i="1"/>
  <c r="AA107" i="1"/>
  <c r="AA181" i="1"/>
  <c r="AA2" i="1"/>
  <c r="AA180" i="1"/>
  <c r="AA138" i="1"/>
  <c r="AA6" i="1"/>
  <c r="AA77" i="1"/>
  <c r="AA81" i="1"/>
  <c r="AA174" i="1"/>
  <c r="AA100" i="1"/>
  <c r="AA89" i="1"/>
  <c r="AA134" i="1"/>
  <c r="AA33" i="1"/>
  <c r="AA135" i="1"/>
  <c r="AA114" i="1"/>
  <c r="AA17" i="1"/>
  <c r="AA86" i="1"/>
  <c r="AA189" i="1"/>
  <c r="AA3" i="1"/>
  <c r="AA136" i="1"/>
  <c r="AA196" i="1"/>
  <c r="AA74" i="1"/>
  <c r="AA39" i="1"/>
  <c r="AA80" i="1"/>
  <c r="AA175" i="1"/>
  <c r="AA62" i="1"/>
  <c r="AA166" i="1"/>
  <c r="AA69" i="1"/>
  <c r="AA167" i="1"/>
  <c r="AA27" i="1"/>
  <c r="AA75" i="1"/>
  <c r="AA183" i="1"/>
  <c r="AA121" i="1"/>
  <c r="AA60" i="1"/>
  <c r="AA5" i="1"/>
  <c r="AA145" i="1"/>
  <c r="AA162" i="1"/>
  <c r="AA57" i="1"/>
  <c r="AA47" i="1"/>
  <c r="AA14" i="1"/>
  <c r="AA122" i="1"/>
  <c r="AA186" i="1"/>
  <c r="AA19" i="1"/>
  <c r="AA119" i="1"/>
  <c r="AA59" i="1"/>
  <c r="AA199" i="1"/>
  <c r="AA54" i="1"/>
  <c r="AA51" i="1"/>
  <c r="AA72" i="1"/>
  <c r="AA126" i="1"/>
  <c r="AA190" i="1"/>
  <c r="AA191" i="1"/>
  <c r="AA173" i="1"/>
  <c r="AA112" i="1"/>
  <c r="AA92" i="1"/>
  <c r="AA198" i="1"/>
  <c r="AA22" i="1"/>
  <c r="AA90" i="1"/>
  <c r="AA11" i="1"/>
  <c r="AA195" i="1"/>
  <c r="AA66" i="1"/>
  <c r="AA53" i="1"/>
  <c r="AA161" i="1"/>
  <c r="AA45" i="1"/>
  <c r="AA155" i="1"/>
  <c r="AA82" i="1"/>
  <c r="AA152" i="1"/>
  <c r="AA144" i="1"/>
  <c r="AA63" i="1"/>
  <c r="AA38" i="1"/>
  <c r="AA52" i="1"/>
  <c r="AA156" i="1"/>
  <c r="AA99" i="1"/>
  <c r="AA87" i="1"/>
  <c r="AA24" i="1"/>
  <c r="AA117" i="1"/>
  <c r="AA149" i="1"/>
  <c r="AA158" i="1"/>
  <c r="AA4" i="1"/>
  <c r="AA64" i="1"/>
  <c r="AA35" i="1"/>
  <c r="AA32" i="1"/>
  <c r="AA133" i="1"/>
  <c r="AA9" i="1"/>
  <c r="AA36" i="1"/>
  <c r="AA15" i="1"/>
  <c r="AA185" i="1"/>
  <c r="AA106" i="1"/>
  <c r="AA43" i="1"/>
  <c r="AA70" i="1"/>
  <c r="AA137" i="1"/>
  <c r="AA177" i="1"/>
  <c r="AA169" i="1"/>
  <c r="AA165" i="1"/>
  <c r="AA193" i="1"/>
  <c r="AA7" i="1"/>
  <c r="AA197" i="1"/>
  <c r="AA68" i="1"/>
  <c r="AA159" i="1"/>
  <c r="AA147" i="1"/>
  <c r="AA55" i="1"/>
  <c r="AA34" i="1"/>
  <c r="AA102" i="1"/>
  <c r="AA41" i="1"/>
  <c r="AA18" i="1"/>
  <c r="AA10" i="1"/>
  <c r="AF197" i="1"/>
  <c r="AF159" i="1"/>
  <c r="AF51" i="1"/>
  <c r="AF106" i="1"/>
  <c r="AF36" i="1"/>
  <c r="AF10" i="1"/>
  <c r="AF193" i="1"/>
  <c r="AF50" i="1"/>
  <c r="AF138" i="1"/>
  <c r="AF121" i="1"/>
  <c r="AF22" i="1"/>
  <c r="AF173" i="1"/>
  <c r="AF124" i="1"/>
  <c r="AF38" i="1"/>
  <c r="AF58" i="1"/>
  <c r="AF181" i="1"/>
  <c r="AF135" i="1"/>
  <c r="AF18" i="1"/>
  <c r="AF147" i="1"/>
  <c r="AF54" i="1"/>
  <c r="AF155" i="1"/>
  <c r="AF82" i="1"/>
  <c r="AF160" i="1"/>
  <c r="AF136" i="1"/>
  <c r="AF39" i="1"/>
  <c r="AF139" i="1"/>
  <c r="AF80" i="1"/>
  <c r="AF137" i="1"/>
  <c r="AF24" i="1"/>
  <c r="AF9" i="1"/>
  <c r="AF59" i="1"/>
  <c r="AF20" i="1"/>
  <c r="AF166" i="1"/>
  <c r="AF72" i="1"/>
  <c r="AF57" i="1"/>
  <c r="AF5" i="1"/>
  <c r="AF194" i="1"/>
  <c r="AF26" i="1"/>
  <c r="AF81" i="1"/>
  <c r="AF176" i="1"/>
  <c r="AF113" i="1"/>
  <c r="AF45" i="1"/>
  <c r="AF161" i="1"/>
  <c r="AF96" i="1"/>
  <c r="AF100" i="1"/>
  <c r="AF29" i="1"/>
  <c r="AF189" i="1"/>
  <c r="AF152" i="1"/>
  <c r="AF70" i="1"/>
  <c r="AF69" i="1"/>
  <c r="AF25" i="1"/>
  <c r="AF2" i="1"/>
  <c r="AF145" i="1"/>
  <c r="AF141" i="1"/>
  <c r="AF115" i="1"/>
  <c r="AF171" i="1"/>
  <c r="AF14" i="1"/>
  <c r="AF66" i="1"/>
  <c r="AF62" i="1"/>
  <c r="AF94" i="1"/>
  <c r="AF8" i="1"/>
  <c r="AF63" i="1"/>
  <c r="AF120" i="1"/>
  <c r="AF13" i="1"/>
  <c r="AF17" i="1"/>
  <c r="AF49" i="1"/>
  <c r="AF31" i="1"/>
  <c r="AF34" i="1"/>
  <c r="AF41" i="1"/>
  <c r="AF169" i="1"/>
  <c r="AF12" i="1"/>
  <c r="AF200" i="1"/>
  <c r="AF172" i="1"/>
  <c r="AF33" i="1"/>
  <c r="AF164" i="1"/>
  <c r="AF65" i="1"/>
  <c r="AF74" i="1"/>
  <c r="AF27" i="1"/>
  <c r="AF162" i="1"/>
  <c r="AF184" i="1"/>
  <c r="AF42" i="1"/>
  <c r="AF165" i="1"/>
  <c r="AF16" i="1"/>
  <c r="AF149" i="1"/>
  <c r="AF35" i="1"/>
  <c r="AF89" i="1"/>
  <c r="AF68" i="1"/>
  <c r="AF195" i="1"/>
  <c r="AF97" i="1"/>
  <c r="AF73" i="1"/>
  <c r="AF40" i="1"/>
  <c r="AF192" i="1"/>
  <c r="AF92" i="1"/>
  <c r="AF104" i="1"/>
  <c r="AF21" i="1"/>
  <c r="AF77" i="1"/>
  <c r="AF7" i="1"/>
  <c r="AF93" i="1"/>
  <c r="AF133" i="1"/>
  <c r="AF32" i="1"/>
  <c r="AF190" i="1"/>
  <c r="AF185" i="1"/>
  <c r="AF15" i="1"/>
  <c r="AF156" i="1"/>
  <c r="AF187" i="1"/>
  <c r="AF182" i="1"/>
  <c r="AF126" i="1"/>
  <c r="AF46" i="1"/>
  <c r="AF170" i="1"/>
  <c r="AF198" i="1"/>
  <c r="AF111" i="1"/>
  <c r="AF177" i="1"/>
  <c r="AF71" i="1"/>
  <c r="AF174" i="1"/>
  <c r="AF102" i="1"/>
  <c r="AF55" i="1"/>
  <c r="AF119" i="1"/>
  <c r="AF4" i="1"/>
  <c r="AF180" i="1"/>
  <c r="AF88" i="1"/>
  <c r="AF79" i="1"/>
  <c r="AF61" i="1"/>
  <c r="AF28" i="1"/>
  <c r="AF196" i="1"/>
  <c r="AF117" i="1"/>
  <c r="AF186" i="1"/>
  <c r="AF112" i="1"/>
  <c r="AF146" i="1"/>
  <c r="AF157" i="1"/>
  <c r="AF114" i="1"/>
  <c r="AF43" i="1"/>
  <c r="AF178" i="1"/>
  <c r="AF118" i="1"/>
  <c r="AF158" i="1"/>
  <c r="AF3" i="1"/>
  <c r="AF56" i="1"/>
  <c r="AF168" i="1"/>
  <c r="AF19" i="1"/>
  <c r="AF188" i="1"/>
  <c r="AF167" i="1"/>
  <c r="AF163" i="1"/>
  <c r="AF78" i="1"/>
  <c r="AF60" i="1"/>
  <c r="AF199" i="1"/>
  <c r="AF87" i="1"/>
  <c r="AF83" i="1"/>
  <c r="AF64" i="1"/>
  <c r="AF99" i="1"/>
  <c r="AF75" i="1"/>
  <c r="AF47" i="1"/>
  <c r="AF191" i="1"/>
  <c r="AF154" i="1"/>
  <c r="AF53" i="1"/>
  <c r="AF134" i="1"/>
  <c r="AF101" i="1"/>
  <c r="AF52" i="1"/>
  <c r="AF6" i="1"/>
  <c r="AF11" i="1"/>
  <c r="AF90" i="1"/>
  <c r="AF175" i="1"/>
  <c r="AF122" i="1"/>
  <c r="AF86" i="1"/>
  <c r="AF107" i="1"/>
  <c r="AF144" i="1"/>
  <c r="AF179" i="1"/>
  <c r="AF183" i="1"/>
  <c r="AA108" i="1"/>
  <c r="AA30" i="1"/>
  <c r="AA127" i="1"/>
  <c r="AA123" i="1"/>
  <c r="AA153" i="1"/>
  <c r="AA103" i="1"/>
  <c r="AA91" i="1"/>
  <c r="AA151" i="1"/>
  <c r="AA84" i="1"/>
  <c r="AA23" i="1"/>
  <c r="AA110" i="1"/>
  <c r="AA85" i="1"/>
  <c r="AA95" i="1"/>
  <c r="AA105" i="1"/>
  <c r="AA143" i="1"/>
  <c r="AA140" i="1"/>
  <c r="AA76" i="1"/>
  <c r="AA130" i="1"/>
  <c r="AA116" i="1"/>
  <c r="AA132" i="1"/>
  <c r="AA98" i="1"/>
  <c r="AA131" i="1"/>
  <c r="AA37" i="1"/>
  <c r="AA125" i="1"/>
  <c r="AA48" i="1"/>
  <c r="AA44" i="1"/>
  <c r="AA109" i="1"/>
  <c r="AF105" i="1"/>
  <c r="AF109" i="1"/>
  <c r="AF131" i="1"/>
  <c r="AF110" i="1"/>
  <c r="AF151" i="1"/>
  <c r="AF125" i="1"/>
  <c r="AF108" i="1"/>
  <c r="AF30" i="1"/>
  <c r="AF153" i="1"/>
  <c r="AF140" i="1"/>
  <c r="AF76" i="1"/>
  <c r="AF103" i="1"/>
  <c r="AF98" i="1"/>
  <c r="AF23" i="1"/>
  <c r="AF48" i="1"/>
  <c r="AF143" i="1"/>
  <c r="AF95" i="1"/>
  <c r="AF91" i="1"/>
  <c r="AF123" i="1"/>
  <c r="AF116" i="1"/>
  <c r="AF130" i="1"/>
  <c r="AF132" i="1"/>
  <c r="AF37" i="1"/>
  <c r="AF44" i="1"/>
  <c r="AF84" i="1"/>
  <c r="AF127" i="1"/>
  <c r="AF85" i="1"/>
  <c r="AF142" i="1"/>
  <c r="AF150" i="1"/>
  <c r="AF148" i="1"/>
  <c r="AF128" i="1"/>
  <c r="AF129" i="1"/>
  <c r="AA150" i="1"/>
  <c r="AA142" i="1"/>
  <c r="AA148" i="1"/>
  <c r="AA128" i="1"/>
  <c r="AA129" i="1"/>
  <c r="AA67" i="1"/>
  <c r="AF67" i="1"/>
  <c r="AG33" i="1" l="1"/>
  <c r="AG192" i="1"/>
  <c r="AH192" i="1" s="1"/>
  <c r="AG68" i="1"/>
  <c r="AG77" i="1"/>
  <c r="AG18" i="1"/>
  <c r="AG17" i="1"/>
  <c r="AG187" i="1"/>
  <c r="AH187" i="1" s="1"/>
  <c r="AG62" i="1"/>
  <c r="AG35" i="1"/>
  <c r="AG63" i="1"/>
  <c r="AG196" i="1"/>
  <c r="AH196" i="1" s="1"/>
  <c r="AG171" i="1"/>
  <c r="AH171" i="1" s="1"/>
  <c r="AG159" i="1"/>
  <c r="AG122" i="1"/>
  <c r="AG45" i="1"/>
  <c r="AG79" i="1"/>
  <c r="AG48" i="1"/>
  <c r="AG157" i="1"/>
  <c r="AG69" i="1"/>
  <c r="AG60" i="1"/>
  <c r="AG169" i="1"/>
  <c r="AH169" i="1" s="1"/>
  <c r="AG82" i="1"/>
  <c r="AG138" i="1"/>
  <c r="AG71" i="1"/>
  <c r="AG37" i="1"/>
  <c r="AG89" i="1"/>
  <c r="AG144" i="1"/>
  <c r="AG88" i="1"/>
  <c r="AG112" i="1"/>
  <c r="AG97" i="1"/>
  <c r="AG95" i="1"/>
  <c r="AG177" i="1"/>
  <c r="AH177" i="1" s="1"/>
  <c r="AG155" i="1"/>
  <c r="AG49" i="1"/>
  <c r="AG145" i="1"/>
  <c r="AG108" i="1"/>
  <c r="AG118" i="1"/>
  <c r="AG127" i="1"/>
  <c r="AG160" i="1"/>
  <c r="AG105" i="1"/>
  <c r="AG174" i="1"/>
  <c r="AH174" i="1" s="1"/>
  <c r="AG164" i="1"/>
  <c r="AG92" i="1"/>
  <c r="AG101" i="1"/>
  <c r="AG193" i="1"/>
  <c r="AH193" i="1" s="1"/>
  <c r="AG126" i="1"/>
  <c r="AG198" i="1"/>
  <c r="AH198" i="1" s="1"/>
  <c r="AG114" i="1"/>
  <c r="AG5" i="1"/>
  <c r="AG96" i="1"/>
  <c r="AG140" i="1"/>
  <c r="AG185" i="1"/>
  <c r="AH185" i="1" s="1"/>
  <c r="AG91" i="1"/>
  <c r="AG65" i="1"/>
  <c r="AG7" i="1"/>
  <c r="AG25" i="1"/>
  <c r="AG149" i="1"/>
  <c r="AG195" i="1"/>
  <c r="AH195" i="1" s="1"/>
  <c r="AG56" i="1"/>
  <c r="AG52" i="1"/>
  <c r="AG85" i="1"/>
  <c r="AG136" i="1"/>
  <c r="AG93" i="1"/>
  <c r="AG134" i="1"/>
  <c r="AG10" i="1"/>
  <c r="AG191" i="1"/>
  <c r="AH191" i="1" s="1"/>
  <c r="AG188" i="1"/>
  <c r="AH188" i="1" s="1"/>
  <c r="AG81" i="1"/>
  <c r="AG152" i="1"/>
  <c r="AG125" i="1"/>
  <c r="AG117" i="1"/>
  <c r="AG99" i="1"/>
  <c r="AG13" i="1"/>
  <c r="AG178" i="1"/>
  <c r="AH178" i="1" s="1"/>
  <c r="AG143" i="1"/>
  <c r="AG12" i="1"/>
  <c r="AG64" i="1"/>
  <c r="AG43" i="1"/>
  <c r="AG22" i="1"/>
  <c r="AG113" i="1"/>
  <c r="AG153" i="1"/>
  <c r="AG36" i="1"/>
  <c r="AG181" i="1"/>
  <c r="AH181" i="1" s="1"/>
  <c r="AG104" i="1"/>
  <c r="AG168" i="1"/>
  <c r="AH168" i="1" s="1"/>
  <c r="AG183" i="1"/>
  <c r="AH183" i="1" s="1"/>
  <c r="AG27" i="1"/>
  <c r="AG66" i="1"/>
  <c r="AG46" i="1"/>
  <c r="AG115" i="1"/>
  <c r="AG102" i="1"/>
  <c r="AG100" i="1"/>
  <c r="AG103" i="1"/>
  <c r="AG151" i="1"/>
  <c r="AG3" i="1"/>
  <c r="AG186" i="1"/>
  <c r="AH186" i="1" s="1"/>
  <c r="AG47" i="1"/>
  <c r="AG110" i="1"/>
  <c r="AG42" i="1"/>
  <c r="AG148" i="1"/>
  <c r="AG182" i="1"/>
  <c r="AH182" i="1" s="1"/>
  <c r="AG189" i="1"/>
  <c r="AH189" i="1" s="1"/>
  <c r="AG165" i="1"/>
  <c r="AG163" i="1"/>
  <c r="AG15" i="1"/>
  <c r="AG28" i="1"/>
  <c r="AG24" i="1"/>
  <c r="AG119" i="1"/>
  <c r="AG30" i="1"/>
  <c r="AG158" i="1"/>
  <c r="AG135" i="1"/>
  <c r="AG199" i="1"/>
  <c r="AH199" i="1" s="1"/>
  <c r="AG184" i="1"/>
  <c r="AH184" i="1" s="1"/>
  <c r="AG90" i="1"/>
  <c r="AG146" i="1"/>
  <c r="AG41" i="1"/>
  <c r="AG9" i="1"/>
  <c r="AG150" i="1"/>
  <c r="AG197" i="1"/>
  <c r="AH197" i="1" s="1"/>
  <c r="AG87" i="1"/>
  <c r="AG180" i="1"/>
  <c r="AH180" i="1" s="1"/>
  <c r="AG32" i="1"/>
  <c r="AG38" i="1"/>
  <c r="AG139" i="1"/>
  <c r="AG176" i="1"/>
  <c r="AH176" i="1" s="1"/>
  <c r="AG2" i="1"/>
  <c r="AG121" i="1"/>
  <c r="AG132" i="1"/>
  <c r="AG67" i="1"/>
  <c r="AG57" i="1"/>
  <c r="AG137" i="1"/>
  <c r="AG61" i="1"/>
  <c r="AG72" i="1"/>
  <c r="AG59" i="1"/>
  <c r="AG23" i="1"/>
  <c r="AG40" i="1"/>
  <c r="AG83" i="1"/>
  <c r="AG142" i="1"/>
  <c r="AG129" i="1"/>
  <c r="AG175" i="1"/>
  <c r="AH175" i="1" s="1"/>
  <c r="AG147" i="1"/>
  <c r="AG109" i="1"/>
  <c r="AG6" i="1"/>
  <c r="AG76" i="1"/>
  <c r="AG107" i="1"/>
  <c r="AG31" i="1"/>
  <c r="AG19" i="1"/>
  <c r="AG94" i="1"/>
  <c r="AG29" i="1"/>
  <c r="AG179" i="1"/>
  <c r="AH179" i="1" s="1"/>
  <c r="AG54" i="1"/>
  <c r="AG123" i="1"/>
  <c r="AG130" i="1"/>
  <c r="AG173" i="1"/>
  <c r="AH173" i="1" s="1"/>
  <c r="AG8" i="1"/>
  <c r="AG4" i="1"/>
  <c r="AG50" i="1"/>
  <c r="AG200" i="1"/>
  <c r="AH200" i="1" s="1"/>
  <c r="AG128" i="1"/>
  <c r="AG51" i="1"/>
  <c r="AG70" i="1"/>
  <c r="AG53" i="1"/>
  <c r="AG156" i="1"/>
  <c r="AG20" i="1"/>
  <c r="AG34" i="1"/>
  <c r="AG170" i="1"/>
  <c r="AH170" i="1" s="1"/>
  <c r="AG55" i="1"/>
  <c r="AG21" i="1"/>
  <c r="AG44" i="1"/>
  <c r="AG11" i="1"/>
  <c r="AG98" i="1"/>
  <c r="AG86" i="1"/>
  <c r="AG166" i="1"/>
  <c r="AH166" i="1" s="1"/>
  <c r="AG190" i="1"/>
  <c r="AH190" i="1" s="1"/>
  <c r="AG172" i="1"/>
  <c r="AH172" i="1" s="1"/>
  <c r="AG84" i="1"/>
  <c r="AG162" i="1"/>
  <c r="AG106" i="1"/>
  <c r="AG75" i="1"/>
  <c r="AG194" i="1"/>
  <c r="AH194" i="1" s="1"/>
  <c r="AG80" i="1"/>
  <c r="AG133" i="1"/>
  <c r="AG141" i="1"/>
  <c r="AG167" i="1"/>
  <c r="AH167" i="1" s="1"/>
  <c r="AG111" i="1"/>
  <c r="AG154" i="1"/>
  <c r="AG124" i="1"/>
  <c r="AG120" i="1"/>
  <c r="AG16" i="1"/>
  <c r="AG14" i="1"/>
  <c r="AG58" i="1"/>
  <c r="AG161" i="1"/>
  <c r="AG78" i="1"/>
  <c r="AG131" i="1"/>
  <c r="AG39" i="1"/>
  <c r="AG116" i="1"/>
  <c r="AG26" i="1"/>
  <c r="AG73" i="1"/>
  <c r="AG74" i="1"/>
  <c r="AH146" i="1" l="1"/>
  <c r="AH127" i="1"/>
  <c r="AH135" i="1"/>
  <c r="AH115" i="1"/>
  <c r="AH37" i="1"/>
  <c r="AH136" i="1"/>
  <c r="AH35" i="1"/>
  <c r="AH154" i="1"/>
  <c r="AH42" i="1"/>
  <c r="AH148" i="1"/>
  <c r="AH144" i="1"/>
  <c r="AH164" i="1"/>
  <c r="AH105" i="1"/>
  <c r="AH69" i="1"/>
  <c r="AH165" i="1"/>
  <c r="AH159" i="1"/>
  <c r="AH73" i="1"/>
  <c r="AH52" i="1"/>
  <c r="AH104" i="1"/>
  <c r="AH26" i="1"/>
  <c r="AH78" i="1"/>
  <c r="AH57" i="1"/>
  <c r="AH5" i="1"/>
  <c r="AH155" i="1"/>
  <c r="AH86" i="1"/>
  <c r="AH81" i="1"/>
  <c r="AH93" i="1"/>
  <c r="AH161" i="1"/>
  <c r="AH28" i="1"/>
  <c r="AH39" i="1"/>
  <c r="AH83" i="1"/>
  <c r="AH147" i="1"/>
  <c r="AH142" i="1"/>
  <c r="AH120" i="1"/>
  <c r="AH8" i="1"/>
  <c r="AH36" i="1"/>
  <c r="AH58" i="1"/>
  <c r="AH117" i="1"/>
  <c r="AH65" i="1"/>
  <c r="AH128" i="1"/>
  <c r="AH124" i="1"/>
  <c r="AH7" i="1"/>
  <c r="AH162" i="1"/>
  <c r="AH139" i="1"/>
  <c r="AH158" i="1"/>
  <c r="AH60" i="1"/>
  <c r="AH125" i="1"/>
  <c r="AH122" i="1"/>
  <c r="AH68" i="1"/>
  <c r="AH74" i="1"/>
  <c r="AH27" i="1"/>
  <c r="AH21" i="1"/>
  <c r="AH96" i="1"/>
  <c r="AH79" i="1"/>
  <c r="AH15" i="1"/>
  <c r="AH132" i="1"/>
  <c r="AH53" i="1"/>
  <c r="AH13" i="1"/>
  <c r="AH101" i="1"/>
  <c r="AH108" i="1"/>
  <c r="AH49" i="1"/>
  <c r="AH66" i="1"/>
  <c r="AH134" i="1"/>
  <c r="AH19" i="1"/>
  <c r="AH82" i="1"/>
  <c r="AH55" i="1"/>
  <c r="AH30" i="1"/>
  <c r="AH111" i="1"/>
  <c r="AH100" i="1"/>
  <c r="AH106" i="1"/>
  <c r="AH151" i="1"/>
  <c r="AH22" i="1"/>
  <c r="AH43" i="1"/>
  <c r="AH45" i="1"/>
  <c r="AH41" i="1"/>
  <c r="AH103" i="1"/>
  <c r="AH84" i="1"/>
  <c r="AH118" i="1"/>
  <c r="AH129" i="1"/>
  <c r="AH156" i="1"/>
  <c r="AH149" i="1"/>
  <c r="AH90" i="1"/>
  <c r="AH18" i="1"/>
  <c r="AH102" i="1"/>
  <c r="AH94" i="1"/>
  <c r="AH88" i="1"/>
  <c r="AH20" i="1"/>
  <c r="AH110" i="1"/>
  <c r="AH126" i="1"/>
  <c r="AH38" i="1"/>
  <c r="AH99" i="1"/>
  <c r="AH157" i="1"/>
  <c r="AH76" i="1"/>
  <c r="AH121" i="1"/>
  <c r="AH56" i="1"/>
  <c r="AH75" i="1"/>
  <c r="AH80" i="1"/>
  <c r="AH51" i="1"/>
  <c r="AH2" i="1"/>
  <c r="AH141" i="1"/>
  <c r="AH145" i="1"/>
  <c r="AH34" i="1"/>
  <c r="AH119" i="1"/>
  <c r="AH6" i="1"/>
  <c r="AH11" i="1"/>
  <c r="AH163" i="1"/>
  <c r="AH32" i="1"/>
  <c r="AH44" i="1"/>
  <c r="AH70" i="1"/>
  <c r="AH23" i="1"/>
  <c r="AH116" i="1"/>
  <c r="AH12" i="1"/>
  <c r="AH14" i="1"/>
  <c r="AH87" i="1"/>
  <c r="AH137" i="1"/>
  <c r="AH61" i="1"/>
  <c r="AH98" i="1"/>
  <c r="AH16" i="1"/>
  <c r="AH138" i="1"/>
  <c r="AH130" i="1"/>
  <c r="AH33" i="1"/>
  <c r="AH3" i="1"/>
  <c r="AH31" i="1"/>
  <c r="AH109" i="1"/>
  <c r="AH63" i="1"/>
  <c r="AH17" i="1"/>
  <c r="AH143" i="1"/>
  <c r="AH4" i="1"/>
  <c r="AH71" i="1"/>
  <c r="AH29" i="1"/>
  <c r="AH91" i="1"/>
  <c r="AH123" i="1"/>
  <c r="AH59" i="1"/>
  <c r="AH54" i="1"/>
  <c r="AH112" i="1"/>
  <c r="AH140" i="1"/>
  <c r="AH131" i="1"/>
  <c r="AH114" i="1"/>
  <c r="AH10" i="1"/>
  <c r="AH24" i="1"/>
  <c r="AH92" i="1"/>
  <c r="AH72" i="1"/>
  <c r="AH9" i="1"/>
  <c r="AH47" i="1"/>
  <c r="AH153" i="1"/>
  <c r="AH67" i="1"/>
  <c r="AH48" i="1"/>
  <c r="AH25" i="1"/>
  <c r="AH46" i="1"/>
  <c r="AH89" i="1"/>
  <c r="AH160" i="1"/>
  <c r="AH50" i="1"/>
  <c r="AH85" i="1"/>
  <c r="AH97" i="1"/>
  <c r="AH152" i="1"/>
  <c r="AH107" i="1"/>
  <c r="AH64" i="1"/>
  <c r="AH150" i="1"/>
  <c r="AH133" i="1"/>
  <c r="AH77" i="1"/>
  <c r="AH95" i="1"/>
  <c r="AH113" i="1"/>
  <c r="AH62" i="1"/>
  <c r="AH40" i="1"/>
</calcChain>
</file>

<file path=xl/sharedStrings.xml><?xml version="1.0" encoding="utf-8"?>
<sst xmlns="http://schemas.openxmlformats.org/spreadsheetml/2006/main" count="600" uniqueCount="264">
  <si>
    <t>ID</t>
  </si>
  <si>
    <t>Class</t>
  </si>
  <si>
    <t>Name</t>
  </si>
  <si>
    <t>Pattern</t>
  </si>
  <si>
    <t>Saber</t>
  </si>
  <si>
    <t>Artoria Pendragon</t>
  </si>
  <si>
    <t>QAABB</t>
  </si>
  <si>
    <t>NP% per hit = Round Down(Round Down(offensiveNPRate * (firstCardBonus + (cardNpValue * (1 + cardMod))) * enemyServerMod * (1 + npChargeRateMod) * criticalModifier) * overkillModifier)</t>
  </si>
  <si>
    <t>Full formula</t>
  </si>
  <si>
    <t>For simplification, we make the following assumptions</t>
  </si>
  <si>
    <t>enemyServerMod = 1</t>
  </si>
  <si>
    <t>criticalModifier = 1</t>
  </si>
  <si>
    <t>overkillModifier = 1</t>
  </si>
  <si>
    <t>cardNpValues</t>
  </si>
  <si>
    <t>Hope you find this useful :3</t>
  </si>
  <si>
    <t>~Keripo</t>
  </si>
  <si>
    <t>Fate/Grand Order NP Gain and Star Gen Calculations</t>
  </si>
  <si>
    <t>http://blogs.nrvnqsr.com/entry.php/3306-How-much-NP-do-I-get-in-combat</t>
  </si>
  <si>
    <t>NP Gain Calculations References</t>
  </si>
  <si>
    <t>Star Gen Calculations References</t>
  </si>
  <si>
    <t>dropChancePerHit = (baseStarRate + firstCardBonus + (cardStarValue * (1 + cardMod)) + serverRate + starDropMod - enemyStarDropMod + criticalModifier) * overkillModifier + overkillAdd</t>
  </si>
  <si>
    <t>cardStarValue</t>
  </si>
  <si>
    <t>http://blogs.nrvnqsr.com/entry.php/3307-How-many-crit-stars-do-I-get-in-combat</t>
  </si>
  <si>
    <t>serverRate = 0</t>
  </si>
  <si>
    <t>enemyStarDropMod = 0</t>
  </si>
  <si>
    <t>criticalModifier = 0</t>
  </si>
  <si>
    <t>overkillAdd = 0</t>
  </si>
  <si>
    <t>Shielder</t>
  </si>
  <si>
    <t>Mashu Kyrielight</t>
  </si>
  <si>
    <t>Total NP Gain</t>
  </si>
  <si>
    <t>Total Star Gen</t>
  </si>
  <si>
    <t>Artoria Pendragon (Alter)</t>
  </si>
  <si>
    <t>Artoria Pendragon (Lily)</t>
  </si>
  <si>
    <t>Nero Claudius</t>
  </si>
  <si>
    <t>Siegfried</t>
  </si>
  <si>
    <t>Gaius Julius Caesar</t>
  </si>
  <si>
    <t>QQABB</t>
  </si>
  <si>
    <t>Q Count</t>
  </si>
  <si>
    <t>Q Hit</t>
  </si>
  <si>
    <t>A Count</t>
  </si>
  <si>
    <t>A Hit</t>
  </si>
  <si>
    <t>B Count</t>
  </si>
  <si>
    <t>B Hit</t>
  </si>
  <si>
    <t>npRate</t>
  </si>
  <si>
    <t>starRate</t>
  </si>
  <si>
    <t>Attila</t>
  </si>
  <si>
    <t>Gilles de Rais (Saber)</t>
  </si>
  <si>
    <t>Le Chevalier d'Eon</t>
  </si>
  <si>
    <t>Okita Souji</t>
  </si>
  <si>
    <t>Fergus Mac Roich</t>
  </si>
  <si>
    <t>QABBB</t>
  </si>
  <si>
    <t>Mordred</t>
  </si>
  <si>
    <t>Nero Claudius (Bride)</t>
  </si>
  <si>
    <t>Ryougi Shiki (Saber)</t>
  </si>
  <si>
    <t>Rama</t>
  </si>
  <si>
    <t>Lancelot (Saber)</t>
  </si>
  <si>
    <t>Gawain</t>
  </si>
  <si>
    <t>Bedivere</t>
  </si>
  <si>
    <t>Elizabeth Bathory (Brave)</t>
  </si>
  <si>
    <t>Miyamoto Musashi</t>
  </si>
  <si>
    <t>Arthur Pendragon (Prototype)</t>
  </si>
  <si>
    <t>Suzuka Gozen</t>
  </si>
  <si>
    <t>EMIYA</t>
  </si>
  <si>
    <t>Archer</t>
  </si>
  <si>
    <t>QAAAB</t>
  </si>
  <si>
    <t>Gilgamesh</t>
  </si>
  <si>
    <t>Robin Hood</t>
  </si>
  <si>
    <t>QQAAB</t>
  </si>
  <si>
    <t>Atalanta</t>
  </si>
  <si>
    <t>Euryale</t>
  </si>
  <si>
    <t>Arash</t>
  </si>
  <si>
    <t>Orion</t>
  </si>
  <si>
    <t>David</t>
  </si>
  <si>
    <t>Oda Nobunaga</t>
  </si>
  <si>
    <t>Nikola Tesla</t>
  </si>
  <si>
    <t>Arjuna</t>
  </si>
  <si>
    <t>Kid Gil</t>
  </si>
  <si>
    <t>Cards</t>
  </si>
  <si>
    <t>Billy The Kid</t>
  </si>
  <si>
    <t>Tristan</t>
  </si>
  <si>
    <t>Tawara Touda</t>
  </si>
  <si>
    <t>Artoria Pendragon (Archer)</t>
  </si>
  <si>
    <t>Anne Bonny &amp; Mary Read (Archer)</t>
  </si>
  <si>
    <t>Chloe von Einzbern</t>
  </si>
  <si>
    <t>Ishtar</t>
  </si>
  <si>
    <t>James Moriarty</t>
  </si>
  <si>
    <t>EMIYA (Alter)</t>
  </si>
  <si>
    <t>firstCardNpBonus</t>
  </si>
  <si>
    <t>firstCardStarBonus</t>
  </si>
  <si>
    <t>The data point labels in this chart were generated using the "XY Chart Labeler" add-in</t>
  </si>
  <si>
    <t>http://www.appspro.com/Utilities/ChartLabeler.htm</t>
  </si>
  <si>
    <t>Lancer</t>
  </si>
  <si>
    <t>Cu Chulainn</t>
  </si>
  <si>
    <t>Elizabeth Bathory</t>
  </si>
  <si>
    <t>Musashibou Benkei</t>
  </si>
  <si>
    <t>Cu Chulainn (Prototype)</t>
  </si>
  <si>
    <t>Leonidas</t>
  </si>
  <si>
    <t>Romulus</t>
  </si>
  <si>
    <t>Hector</t>
  </si>
  <si>
    <t>Scathach</t>
  </si>
  <si>
    <t>Diarmuid Ua Duibhne</t>
  </si>
  <si>
    <t>Karna</t>
  </si>
  <si>
    <t>Fionn mac Cumhaill</t>
  </si>
  <si>
    <t>Brynhildr</t>
  </si>
  <si>
    <t>Li Shuwen (Lancer)</t>
  </si>
  <si>
    <t>Artoria Pendragon (Lancer)</t>
  </si>
  <si>
    <t>Tamamo no Mae (Lancer)</t>
  </si>
  <si>
    <t>Kiyohime (Lancer)</t>
  </si>
  <si>
    <t>Vlad III (EXTRA)</t>
  </si>
  <si>
    <t>Jeanne d'Arc (Alter) (Santa Lily)</t>
  </si>
  <si>
    <t>Enkidu</t>
  </si>
  <si>
    <t>QQQAB</t>
  </si>
  <si>
    <t>Medusa (Lancer)</t>
  </si>
  <si>
    <t>Jaguar Man</t>
  </si>
  <si>
    <t>Rider</t>
  </si>
  <si>
    <t>Medusa</t>
  </si>
  <si>
    <t>Saint George</t>
  </si>
  <si>
    <t>Edward Teach</t>
  </si>
  <si>
    <t>Boudica</t>
  </si>
  <si>
    <t>Ushiwakamaru</t>
  </si>
  <si>
    <t>Alexander</t>
  </si>
  <si>
    <t>Marie Antoinette</t>
  </si>
  <si>
    <t>Saint Martha</t>
  </si>
  <si>
    <t>Francis Drake</t>
  </si>
  <si>
    <t>Anne Bonny &amp; Mary Read</t>
  </si>
  <si>
    <t>Artoria Pendragon (Santa Alter)</t>
  </si>
  <si>
    <t>Astolfo</t>
  </si>
  <si>
    <t>Medb</t>
  </si>
  <si>
    <t>Iskandar</t>
  </si>
  <si>
    <t>Sakata Kintoki (Rider)</t>
  </si>
  <si>
    <t>Ramesse II</t>
  </si>
  <si>
    <t>Mordred (Rider)</t>
  </si>
  <si>
    <t>Quetzalcoatl</t>
  </si>
  <si>
    <t>Caster</t>
  </si>
  <si>
    <t>Medea</t>
  </si>
  <si>
    <t>Gilles de Rais</t>
  </si>
  <si>
    <t>Hans Christian Andersen</t>
  </si>
  <si>
    <t>William Shakespeare</t>
  </si>
  <si>
    <t>Mephistopheles</t>
  </si>
  <si>
    <t>Wolfgang Amadeus Mozart</t>
  </si>
  <si>
    <t>Zhuge Liang (Lord El-Melloi II)</t>
  </si>
  <si>
    <t>Cu Chulainn (Caster)</t>
  </si>
  <si>
    <t>Elizabeth Bathory (Halloween)</t>
  </si>
  <si>
    <t>Tamamo no Mae</t>
  </si>
  <si>
    <t>Medea (Lily)</t>
  </si>
  <si>
    <t>Nursery Rhyme</t>
  </si>
  <si>
    <t>Paracelsus Van Hohenheim</t>
  </si>
  <si>
    <t>Charles Babbage</t>
  </si>
  <si>
    <t>Helena Blavatsky</t>
  </si>
  <si>
    <t>Thomas Edison</t>
  </si>
  <si>
    <t>Geronimo</t>
  </si>
  <si>
    <t>Irisviel (Dress of Heaven)</t>
  </si>
  <si>
    <t>Xuanzang</t>
  </si>
  <si>
    <t>Nitocris</t>
  </si>
  <si>
    <t>Leonardo Da Vinci</t>
  </si>
  <si>
    <t>Marie Antoinette (Caster)</t>
  </si>
  <si>
    <t>Illyasviel von Einzbern</t>
  </si>
  <si>
    <t>Gilgamesh (Caster)</t>
  </si>
  <si>
    <t>Merlin</t>
  </si>
  <si>
    <t>Q-NP</t>
  </si>
  <si>
    <t>A-NP</t>
  </si>
  <si>
    <t>B-NP</t>
  </si>
  <si>
    <t>Total NP</t>
  </si>
  <si>
    <t>Total Star</t>
  </si>
  <si>
    <t>Assassin</t>
  </si>
  <si>
    <t>Sasaki Kojirou</t>
  </si>
  <si>
    <t>Cursed Arm Hassan</t>
  </si>
  <si>
    <t>Stheno</t>
  </si>
  <si>
    <t>Jing Ke</t>
  </si>
  <si>
    <t>Charles-Henri Sanson</t>
  </si>
  <si>
    <t>The Phantom of the Opera</t>
  </si>
  <si>
    <t>Mata Hari</t>
  </si>
  <si>
    <t>Carmilla</t>
  </si>
  <si>
    <t>Jack the Ripper</t>
  </si>
  <si>
    <t>Mysterious Heroine X</t>
  </si>
  <si>
    <t>Ryougi Shiki (Assassin)</t>
  </si>
  <si>
    <t>EMIYA (Assassin)</t>
  </si>
  <si>
    <t>Hundred-Faced Hassan</t>
  </si>
  <si>
    <t>Shuten Douji</t>
  </si>
  <si>
    <t>Fuuma Kotarou</t>
  </si>
  <si>
    <t>Hassan of Serenity</t>
  </si>
  <si>
    <t>Scathach (Assassin)</t>
  </si>
  <si>
    <t>Cleopatra</t>
  </si>
  <si>
    <t>King Hassan</t>
  </si>
  <si>
    <t>Yan Qing</t>
  </si>
  <si>
    <t>Berserker</t>
  </si>
  <si>
    <t>Heracles</t>
  </si>
  <si>
    <t>Lancelot</t>
  </si>
  <si>
    <t>Lu Bu</t>
  </si>
  <si>
    <t>Spartacus</t>
  </si>
  <si>
    <t>Sakata Kintoki</t>
  </si>
  <si>
    <t>Vlad III</t>
  </si>
  <si>
    <t>Asterios</t>
  </si>
  <si>
    <t>Caligula</t>
  </si>
  <si>
    <t>Darius III</t>
  </si>
  <si>
    <t>Kiyohime</t>
  </si>
  <si>
    <t>Eric Bloodaxe</t>
  </si>
  <si>
    <t>Tamamo Cat</t>
  </si>
  <si>
    <t>Henry Jekyll &amp; Hyde (Hyde)</t>
  </si>
  <si>
    <t>Henry Jekyll &amp; Hyde (Jekyll)</t>
  </si>
  <si>
    <t>Frankenstein</t>
  </si>
  <si>
    <t>Beowulf</t>
  </si>
  <si>
    <t>Nightingale</t>
  </si>
  <si>
    <t>Cu Chulainn (Alter)</t>
  </si>
  <si>
    <t>Minamoto no Yorimitsu</t>
  </si>
  <si>
    <t>Ibaraki Douji</t>
  </si>
  <si>
    <t>Mysterious Heroine X (Alter)</t>
  </si>
  <si>
    <t>Hijikata Toshizou</t>
  </si>
  <si>
    <t>Chacha</t>
  </si>
  <si>
    <t>Ruler</t>
  </si>
  <si>
    <t>Jeanne d'Arc</t>
  </si>
  <si>
    <t>Amakusa Shirou</t>
  </si>
  <si>
    <t>Saint Martha (Ruler)</t>
  </si>
  <si>
    <t>Avenger</t>
  </si>
  <si>
    <t>Edmond Dantes</t>
  </si>
  <si>
    <t>Jeanne d'Arc (Alter)</t>
  </si>
  <si>
    <t>Angra Mainyu</t>
  </si>
  <si>
    <t>Gorgon</t>
  </si>
  <si>
    <t>Hessian Lobo</t>
  </si>
  <si>
    <t>Moon Cancer</t>
  </si>
  <si>
    <t>BB</t>
  </si>
  <si>
    <t>Alter Ego</t>
  </si>
  <si>
    <t>Meltlilith</t>
  </si>
  <si>
    <t>Passionlip</t>
  </si>
  <si>
    <t>Sessyoin Kiara</t>
  </si>
  <si>
    <t>starMod</t>
  </si>
  <si>
    <t>qMod</t>
  </si>
  <si>
    <t>aMod</t>
  </si>
  <si>
    <t>bMod</t>
  </si>
  <si>
    <t>Notes</t>
  </si>
  <si>
    <t>baseStarRate gets shortened to starRate</t>
  </si>
  <si>
    <t>starDropMod gets shortened to starMod</t>
  </si>
  <si>
    <t>firstCardBonus of 0.2, i.e. first card is always Quick</t>
  </si>
  <si>
    <t>qMod/aMod/bMod are the cardMods</t>
  </si>
  <si>
    <t>Artoria Pendragon (Lancer Alter)</t>
  </si>
  <si>
    <t>offensiveNPRate gets shortened to npRate</t>
  </si>
  <si>
    <t>firstCardBonus of 1, i.e. first card is always Arts</t>
  </si>
  <si>
    <t>Max Total NP Gain</t>
  </si>
  <si>
    <t>Max Total Star Gen</t>
  </si>
  <si>
    <t>*</t>
  </si>
  <si>
    <t>Q-*</t>
  </si>
  <si>
    <t>A-*</t>
  </si>
  <si>
    <t>B-*</t>
  </si>
  <si>
    <t>Percent Overall</t>
  </si>
  <si>
    <t>Percent Star</t>
  </si>
  <si>
    <t>Percent NP</t>
  </si>
  <si>
    <t>npBonus</t>
  </si>
  <si>
    <t>starBonus</t>
  </si>
  <si>
    <t>npMod</t>
  </si>
  <si>
    <t>npChargeRateMod gets shortened to npMod</t>
  </si>
  <si>
    <t>Hence, the formula used in this spreadsheet becomes</t>
  </si>
  <si>
    <t>cardStarValues are taken as the second card</t>
  </si>
  <si>
    <t>We also want to factor in bonus flat NP gains from passive or active skills as "npBonus"</t>
  </si>
  <si>
    <t>We also want to factor in bonus stars from passive or active skills as "starBonus"</t>
  </si>
  <si>
    <t>NP gain = offensiveNPRate * (firstCardNpBonus + cardNpValue * (1 + cardMod) * (1 + npChargeRateMod)) + (npBonus/5)</t>
  </si>
  <si>
    <t>Stars generated = baseStarRate + firstCardStarBonus + cardStarValue * (1 + cardMod) + starDropMod + (starBonus/5)</t>
  </si>
  <si>
    <t>All active skills are factored in as lvl 10s</t>
  </si>
  <si>
    <t>Total NP gain = NP gain for each card type * card type count + npBonus</t>
  </si>
  <si>
    <t>Total star gen = Star gen for each card type * card type count + starBonus</t>
  </si>
  <si>
    <t>starBonus is weighed based on skill coodown</t>
  </si>
  <si>
    <t>npBonus is weighed based on skill coodown</t>
  </si>
  <si>
    <t>Last updated: 2017/06/21</t>
  </si>
  <si>
    <t>Order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</si>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</sst>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2" fontId="6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1" fillId="0" borderId="0" xfId="0" applyNumberFormat="1" applyFont="1"/>
    <xf numFmtId="2" fontId="7" fillId="0" borderId="0" xfId="0" applyNumberFormat="1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F/GO Servant Total</a:t>
            </a:r>
            <a:r>
              <a:rPr lang="en-US" baseline="0"/>
              <a:t> NP Gain vs Total Star Gen</a:t>
            </a:r>
            <a:br>
              <a:rPr lang="en-US" baseline="0"/>
            </a:br>
            <a:r>
              <a:rPr lang="en-US" baseline="0"/>
              <a:t>by Keripo, last updated 2017-06-21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strRef>
                  <c:f>Graph!$A$2</c:f>
                  <c:strCache>
                    <c:ptCount val="1"/>
                    <c:pt idx="0">
                      <c:v>Jack the Ripper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{813772EF-73EA-4E04-820B-CDA015D4D394}</c15:txfldGUID>
                      <c15:f>Graph!$A$2</c15:f>
                      <c15:dlblFieldTableCache>
                        <c:ptCount val="1"/>
                        <c:pt idx="0">
                          <c:v>Jack the Ripper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FDA-4A7C-AB44-5095F600D6BB}"/>
                </c:ext>
              </c:extLst>
            </c:dLbl>
            <c:dLbl>
              <c:idx val="1"/>
              <c:tx>
                <c:strRef>
                  <c:f>Graph!$A$3</c:f>
                  <c:strCache>
                    <c:ptCount val="1"/>
                    <c:pt idx="0">
                      <c:v>Cleopatra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{F4C10096-F4FD-4468-9543-67403500C37E}</c15:txfldGUID>
                      <c15:f>Graph!$A$3</c15:f>
                      <c15:dlblFieldTableCache>
                        <c:ptCount val="1"/>
                        <c:pt idx="0">
                          <c:v>Cleopatra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FDA-4A7C-AB44-5095F600D6BB}"/>
                </c:ext>
              </c:extLst>
            </c:dLbl>
            <c:dLbl>
              <c:idx val="2"/>
              <c:tx>
                <c:strRef>
                  <c:f>Graph!$A$4</c:f>
                  <c:strCache>
                    <c:ptCount val="1"/>
                    <c:pt idx="0">
                      <c:v>Chloe von Einzbern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{C8AB9459-5429-4803-8B2A-C8EC61CC6A05}</c15:txfldGUID>
                      <c15:f>Graph!$A$4</c15:f>
                      <c15:dlblFieldTableCache>
                        <c:ptCount val="1"/>
                        <c:pt idx="0">
                          <c:v>Chloe von Einzbern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FDA-4A7C-AB44-5095F600D6BB}"/>
                </c:ext>
              </c:extLst>
            </c:dLbl>
            <c:dLbl>
              <c:idx val="3"/>
              <c:tx>
                <c:strRef>
                  <c:f>Graph!$A$5</c:f>
                  <c:strCache>
                    <c:ptCount val="1"/>
                    <c:pt idx="0">
                      <c:v>Sakata Kintoki (Rider)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{5B7DE567-5826-43FF-99B6-9838D24A59BE}</c15:txfldGUID>
                      <c15:f>Graph!$A$5</c15:f>
                      <c15:dlblFieldTableCache>
                        <c:ptCount val="1"/>
                        <c:pt idx="0">
                          <c:v>Sakata Kintoki (Rider)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FDA-4A7C-AB44-5095F600D6BB}"/>
                </c:ext>
              </c:extLst>
            </c:dLbl>
            <c:dLbl>
              <c:idx val="4"/>
              <c:tx>
                <c:strRef>
                  <c:f>Graph!$A$6</c:f>
                  <c:strCache>
                    <c:ptCount val="1"/>
                    <c:pt idx="0">
                      <c:v>Carmilla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{85E3B1A8-1D50-4CDD-B2E6-8DFD8C5C3EC3}</c15:txfldGUID>
                      <c15:f>Graph!$A$6</c15:f>
                      <c15:dlblFieldTableCache>
                        <c:ptCount val="1"/>
                        <c:pt idx="0">
                          <c:v>Carmilla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FDA-4A7C-AB44-5095F600D6BB}"/>
                </c:ext>
              </c:extLst>
            </c:dLbl>
            <c:dLbl>
              <c:idx val="5"/>
              <c:tx>
                <c:strRef>
                  <c:f>Graph!$A$7</c:f>
                  <c:strCache>
                    <c:ptCount val="1"/>
                    <c:pt idx="0">
                      <c:v>Cursed Arm Hassan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{9AE2E814-4AE0-4287-B81E-CEDE26923590}</c15:txfldGUID>
                      <c15:f>Graph!$A$7</c15:f>
                      <c15:dlblFieldTableCache>
                        <c:ptCount val="1"/>
                        <c:pt idx="0">
                          <c:v>Cursed Arm Hassan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FDA-4A7C-AB44-5095F600D6BB}"/>
                </c:ext>
              </c:extLst>
            </c:dLbl>
            <c:dLbl>
              <c:idx val="6"/>
              <c:tx>
                <c:strRef>
                  <c:f>Graph!$A$8</c:f>
                  <c:strCache>
                    <c:ptCount val="1"/>
                    <c:pt idx="0">
                      <c:v>Fuuma Kotarou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{33867136-481B-46E4-AF30-885CBF3339A5}</c15:txfldGUID>
                      <c15:f>Graph!$A$8</c15:f>
                      <c15:dlblFieldTableCache>
                        <c:ptCount val="1"/>
                        <c:pt idx="0">
                          <c:v>Fuuma Kotarou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FDA-4A7C-AB44-5095F600D6BB}"/>
                </c:ext>
              </c:extLst>
            </c:dLbl>
            <c:dLbl>
              <c:idx val="7"/>
              <c:tx>
                <c:strRef>
                  <c:f>Graph!$A$9</c:f>
                  <c:strCache>
                    <c:ptCount val="1"/>
                    <c:pt idx="0">
                      <c:v>Okita Souji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{8B3C7876-196C-40C3-B046-04E424451869}</c15:txfldGUID>
                      <c15:f>Graph!$A$9</c15:f>
                      <c15:dlblFieldTableCache>
                        <c:ptCount val="1"/>
                        <c:pt idx="0">
                          <c:v>Okita Souji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FDA-4A7C-AB44-5095F600D6BB}"/>
                </c:ext>
              </c:extLst>
            </c:dLbl>
            <c:dLbl>
              <c:idx val="8"/>
              <c:tx>
                <c:strRef>
                  <c:f>Graph!$A$10</c:f>
                  <c:strCache>
                    <c:ptCount val="1"/>
                    <c:pt idx="0">
                      <c:v>Tamamo no Mae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{0F3F88FF-01A0-4E55-B767-76334F277653}</c15:txfldGUID>
                      <c15:f>Graph!$A$10</c15:f>
                      <c15:dlblFieldTableCache>
                        <c:ptCount val="1"/>
                        <c:pt idx="0">
                          <c:v>Tamamo no Mae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FDA-4A7C-AB44-5095F600D6BB}"/>
                </c:ext>
              </c:extLst>
            </c:dLbl>
            <c:dLbl>
              <c:idx val="9"/>
              <c:tx>
                <c:strRef>
                  <c:f>Graph!$A$11</c:f>
                  <c:strCache>
                    <c:ptCount val="1"/>
                    <c:pt idx="0">
                      <c:v>Mysterious Heroine X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{2898EF54-2791-4139-B028-B7BD7C545038}</c15:txfldGUID>
                      <c15:f>Graph!$A$11</c15:f>
                      <c15:dlblFieldTableCache>
                        <c:ptCount val="1"/>
                        <c:pt idx="0">
                          <c:v>Mysterious Heroine 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FDA-4A7C-AB44-5095F600D6BB}"/>
                </c:ext>
              </c:extLst>
            </c:dLbl>
            <c:dLbl>
              <c:idx val="10"/>
              <c:tx>
                <c:strRef>
                  <c:f>Graph!$A$12</c:f>
                  <c:strCache>
                    <c:ptCount val="1"/>
                    <c:pt idx="0">
                      <c:v>Stheno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{3F6075EB-6569-4A1F-9230-D7A7E2510D65}</c15:txfldGUID>
                      <c15:f>Graph!$A$12</c15:f>
                      <c15:dlblFieldTableCache>
                        <c:ptCount val="1"/>
                        <c:pt idx="0">
                          <c:v>Stheno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FDA-4A7C-AB44-5095F600D6BB}"/>
                </c:ext>
              </c:extLst>
            </c:dLbl>
            <c:dLbl>
              <c:idx val="11"/>
              <c:tx>
                <c:strRef>
                  <c:f>Graph!$A$13</c:f>
                  <c:strCache>
                    <c:ptCount val="1"/>
                    <c:pt idx="0">
                      <c:v>Medea (Lily)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{33754740-E936-43BA-A879-95AFA458446D}</c15:txfldGUID>
                      <c15:f>Graph!$A$13</c15:f>
                      <c15:dlblFieldTableCache>
                        <c:ptCount val="1"/>
                        <c:pt idx="0">
                          <c:v>Medea (Lily)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FDA-4A7C-AB44-5095F600D6BB}"/>
                </c:ext>
              </c:extLst>
            </c:dLbl>
            <c:dLbl>
              <c:idx val="12"/>
              <c:tx>
                <c:strRef>
                  <c:f>Graph!$A$14</c:f>
                  <c:strCache>
                    <c:ptCount val="1"/>
                    <c:pt idx="0">
                      <c:v>Lancelot (Saber)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{193E6326-233C-45BA-82B8-A2919909ABEF}</c15:txfldGUID>
                      <c15:f>Graph!$A$14</c15:f>
                      <c15:dlblFieldTableCache>
                        <c:ptCount val="1"/>
                        <c:pt idx="0">
                          <c:v>Lancelot (Saber)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FDA-4A7C-AB44-5095F600D6BB}"/>
                </c:ext>
              </c:extLst>
            </c:dLbl>
            <c:dLbl>
              <c:idx val="13"/>
              <c:tx>
                <c:strRef>
                  <c:f>Graph!$A$15</c:f>
                  <c:strCache>
                    <c:ptCount val="1"/>
                    <c:pt idx="0">
                      <c:v>Yan Qing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{91750E5D-E6AC-490E-B3F7-A18E1DE0338C}</c15:txfldGUID>
                      <c15:f>Graph!$A$15</c15:f>
                      <c15:dlblFieldTableCache>
                        <c:ptCount val="1"/>
                        <c:pt idx="0">
                          <c:v>Yan Qing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FDA-4A7C-AB44-5095F600D6BB}"/>
                </c:ext>
              </c:extLst>
            </c:dLbl>
            <c:dLbl>
              <c:idx val="14"/>
              <c:tx>
                <c:strRef>
                  <c:f>Graph!$A$16</c:f>
                  <c:strCache>
                    <c:ptCount val="1"/>
                    <c:pt idx="0">
                      <c:v>Enkidu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{20B2A639-3F02-4EE4-AE9A-8BA88930DEB3}</c15:txfldGUID>
                      <c15:f>Graph!$A$16</c15:f>
                      <c15:dlblFieldTableCache>
                        <c:ptCount val="1"/>
                        <c:pt idx="0">
                          <c:v>Enkidu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FDA-4A7C-AB44-5095F600D6BB}"/>
                </c:ext>
              </c:extLst>
            </c:dLbl>
            <c:dLbl>
              <c:idx val="15"/>
              <c:tx>
                <c:strRef>
                  <c:f>Graph!$A$17</c:f>
                  <c:strCache>
                    <c:ptCount val="1"/>
                    <c:pt idx="0">
                      <c:v>Gilgamesh (Caster)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{BB65B085-91A8-45EE-BBA1-6480AA64A9D9}</c15:txfldGUID>
                      <c15:f>Graph!$A$17</c15:f>
                      <c15:dlblFieldTableCache>
                        <c:ptCount val="1"/>
                        <c:pt idx="0">
                          <c:v>Gilgamesh (Caster)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FDA-4A7C-AB44-5095F600D6BB}"/>
                </c:ext>
              </c:extLst>
            </c:dLbl>
            <c:dLbl>
              <c:idx val="16"/>
              <c:tx>
                <c:strRef>
                  <c:f>Graph!$A$18</c:f>
                  <c:strCache>
                    <c:ptCount val="1"/>
                    <c:pt idx="0">
                      <c:v>Ryougi Shiki (Assassin)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{D9450536-BCD0-4A6D-BBD6-05873460AC47}</c15:txfldGUID>
                      <c15:f>Graph!$A$18</c15:f>
                      <c15:dlblFieldTableCache>
                        <c:ptCount val="1"/>
                        <c:pt idx="0">
                          <c:v>Ryougi Shiki (Assassin)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FDA-4A7C-AB44-5095F600D6BB}"/>
                </c:ext>
              </c:extLst>
            </c:dLbl>
            <c:dLbl>
              <c:idx val="17"/>
              <c:tx>
                <c:strRef>
                  <c:f>Graph!$A$19</c:f>
                  <c:strCache>
                    <c:ptCount val="1"/>
                    <c:pt idx="0">
                      <c:v>Tristan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{341F4C16-5172-4847-99D7-308E3D2C0F9E}</c15:txfldGUID>
                      <c15:f>Graph!$A$19</c15:f>
                      <c15:dlblFieldTableCache>
                        <c:ptCount val="1"/>
                        <c:pt idx="0">
                          <c:v>Tristan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4FDA-4A7C-AB44-5095F600D6BB}"/>
                </c:ext>
              </c:extLst>
            </c:dLbl>
            <c:dLbl>
              <c:idx val="18"/>
              <c:tx>
                <c:strRef>
                  <c:f>Graph!$A$20</c:f>
                  <c:strCache>
                    <c:ptCount val="1"/>
                    <c:pt idx="0">
                      <c:v>Nitocris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{A97F2EE7-7229-4757-B9B7-81D3146F4B10}</c15:txfldGUID>
                      <c15:f>Graph!$A$20</c15:f>
                      <c15:dlblFieldTableCache>
                        <c:ptCount val="1"/>
                        <c:pt idx="0">
                          <c:v>Nitocris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FDA-4A7C-AB44-5095F600D6BB}"/>
                </c:ext>
              </c:extLst>
            </c:dLbl>
            <c:dLbl>
              <c:idx val="19"/>
              <c:tx>
                <c:strRef>
                  <c:f>Graph!$A$21</c:f>
                  <c:strCache>
                    <c:ptCount val="1"/>
                    <c:pt idx="0">
                      <c:v>Chacha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{48BB4C7E-B211-4DFA-8859-5BC0C8A9FE23}</c15:txfldGUID>
                      <c15:f>Graph!$A$21</c15:f>
                      <c15:dlblFieldTableCache>
                        <c:ptCount val="1"/>
                        <c:pt idx="0">
                          <c:v>Chacha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4FDA-4A7C-AB44-5095F600D6BB}"/>
                </c:ext>
              </c:extLst>
            </c:dLbl>
            <c:dLbl>
              <c:idx val="20"/>
              <c:tx>
                <c:strRef>
                  <c:f>Graph!$A$22</c:f>
                  <c:strCache>
                    <c:ptCount val="1"/>
                    <c:pt idx="0">
                      <c:v>Vlad III (EXTRA)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{A5DA67BF-EE2D-4753-957D-9E400B8766E4}</c15:txfldGUID>
                      <c15:f>Graph!$A$22</c15:f>
                      <c15:dlblFieldTableCache>
                        <c:ptCount val="1"/>
                        <c:pt idx="0">
                          <c:v>Vlad III (EXTRA)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FDA-4A7C-AB44-5095F600D6BB}"/>
                </c:ext>
              </c:extLst>
            </c:dLbl>
            <c:dLbl>
              <c:idx val="21"/>
              <c:tx>
                <c:strRef>
                  <c:f>Graph!$A$23</c:f>
                  <c:strCache>
                    <c:ptCount val="1"/>
                    <c:pt idx="0">
                      <c:v>Medea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{40F4B494-BF6A-4A8E-9CCA-99591745AB6D}</c15:txfldGUID>
                      <c15:f>Graph!$A$23</c15:f>
                      <c15:dlblFieldTableCache>
                        <c:ptCount val="1"/>
                        <c:pt idx="0">
                          <c:v>Medea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FDA-4A7C-AB44-5095F600D6BB}"/>
                </c:ext>
              </c:extLst>
            </c:dLbl>
            <c:dLbl>
              <c:idx val="22"/>
              <c:tx>
                <c:strRef>
                  <c:f>Graph!$A$24</c:f>
                  <c:strCache>
                    <c:ptCount val="1"/>
                    <c:pt idx="0">
                      <c:v>Francis Drake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{D7A87043-1092-4975-A024-7964DAE438DC}</c15:txfldGUID>
                      <c15:f>Graph!$A$24</c15:f>
                      <c15:dlblFieldTableCache>
                        <c:ptCount val="1"/>
                        <c:pt idx="0">
                          <c:v>Francis Drake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FDA-4A7C-AB44-5095F600D6BB}"/>
                </c:ext>
              </c:extLst>
            </c:dLbl>
            <c:dLbl>
              <c:idx val="23"/>
              <c:tx>
                <c:strRef>
                  <c:f>Graph!$A$25</c:f>
                  <c:strCache>
                    <c:ptCount val="1"/>
                    <c:pt idx="0">
                      <c:v>EMIYA (Assassin)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{0BE645D3-D155-4CD1-9638-18D33EC66C40}</c15:txfldGUID>
                      <c15:f>Graph!$A$25</c15:f>
                      <c15:dlblFieldTableCache>
                        <c:ptCount val="1"/>
                        <c:pt idx="0">
                          <c:v>EMIYA (Assassin)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FDA-4A7C-AB44-5095F600D6BB}"/>
                </c:ext>
              </c:extLst>
            </c:dLbl>
            <c:dLbl>
              <c:idx val="24"/>
              <c:tx>
                <c:strRef>
                  <c:f>Graph!$A$26</c:f>
                  <c:strCache>
                    <c:ptCount val="1"/>
                    <c:pt idx="0">
                      <c:v>Mata Hari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{76972801-A8E1-4C98-B7D2-9A28F4271947}</c15:txfldGUID>
                      <c15:f>Graph!$A$26</c15:f>
                      <c15:dlblFieldTableCache>
                        <c:ptCount val="1"/>
                        <c:pt idx="0">
                          <c:v>Mata Hari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4FDA-4A7C-AB44-5095F600D6BB}"/>
                </c:ext>
              </c:extLst>
            </c:dLbl>
            <c:dLbl>
              <c:idx val="25"/>
              <c:tx>
                <c:strRef>
                  <c:f>Graph!$A$27</c:f>
                  <c:strCache>
                    <c:ptCount val="1"/>
                    <c:pt idx="0">
                      <c:v>Xuanzang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{C4F7EA8E-3D4D-431E-B9FC-7D5AC1F25B13}</c15:txfldGUID>
                      <c15:f>Graph!$A$27</c15:f>
                      <c15:dlblFieldTableCache>
                        <c:ptCount val="1"/>
                        <c:pt idx="0">
                          <c:v>Xuanzang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4FDA-4A7C-AB44-5095F600D6BB}"/>
                </c:ext>
              </c:extLst>
            </c:dLbl>
            <c:dLbl>
              <c:idx val="26"/>
              <c:tx>
                <c:strRef>
                  <c:f>Graph!$A$28</c:f>
                  <c:strCache>
                    <c:ptCount val="1"/>
                    <c:pt idx="0">
                      <c:v>Leonardo Da Vinci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{0D2961EF-E931-4D51-B64D-379514AFB6DE}</c15:txfldGUID>
                      <c15:f>Graph!$A$28</c15:f>
                      <c15:dlblFieldTableCache>
                        <c:ptCount val="1"/>
                        <c:pt idx="0">
                          <c:v>Leonardo Da Vinci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4FDA-4A7C-AB44-5095F600D6BB}"/>
                </c:ext>
              </c:extLst>
            </c:dLbl>
            <c:dLbl>
              <c:idx val="27"/>
              <c:tx>
                <c:strRef>
                  <c:f>Graph!$A$29</c:f>
                  <c:strCache>
                    <c:ptCount val="1"/>
                    <c:pt idx="0">
                      <c:v>Scathach (Assassin)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{9B9B57DC-BBF6-4635-B40D-8A0396F3FF12}</c15:txfldGUID>
                      <c15:f>Graph!$A$29</c15:f>
                      <c15:dlblFieldTableCache>
                        <c:ptCount val="1"/>
                        <c:pt idx="0">
                          <c:v>Scathach (Assassin)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4FDA-4A7C-AB44-5095F600D6BB}"/>
                </c:ext>
              </c:extLst>
            </c:dLbl>
            <c:dLbl>
              <c:idx val="28"/>
              <c:tx>
                <c:strRef>
                  <c:f>Graph!$A$30</c:f>
                  <c:strCache>
                    <c:ptCount val="1"/>
                    <c:pt idx="0">
                      <c:v>Hans Christian Andersen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{8D1B4809-6E76-40B1-93BD-7631F1BEBD69}</c15:txfldGUID>
                      <c15:f>Graph!$A$30</c15:f>
                      <c15:dlblFieldTableCache>
                        <c:ptCount val="1"/>
                        <c:pt idx="0">
                          <c:v>Hans Christian Andersen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4FDA-4A7C-AB44-5095F600D6BB}"/>
                </c:ext>
              </c:extLst>
            </c:dLbl>
            <c:dLbl>
              <c:idx val="29"/>
              <c:tx>
                <c:strRef>
                  <c:f>Graph!$A$31</c:f>
                  <c:strCache>
                    <c:ptCount val="1"/>
                    <c:pt idx="0">
                      <c:v>Sasaki Kojirou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{4FF868B0-8B39-4E54-AF47-954A5754A0EB}</c15:txfldGUID>
                      <c15:f>Graph!$A$31</c15:f>
                      <c15:dlblFieldTableCache>
                        <c:ptCount val="1"/>
                        <c:pt idx="0">
                          <c:v>Sasaki Kojirou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4FDA-4A7C-AB44-5095F600D6BB}"/>
                </c:ext>
              </c:extLst>
            </c:dLbl>
            <c:dLbl>
              <c:idx val="30"/>
              <c:tx>
                <c:strRef>
                  <c:f>Graph!$A$32</c:f>
                  <c:strCache>
                    <c:ptCount val="1"/>
                    <c:pt idx="0">
                      <c:v>Helena Blavatsky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{7FB4EC1E-8801-49F3-91A1-C7975A44ED53}</c15:txfldGUID>
                      <c15:f>Graph!$A$32</c15:f>
                      <c15:dlblFieldTableCache>
                        <c:ptCount val="1"/>
                        <c:pt idx="0">
                          <c:v>Helena Blavatsky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4FDA-4A7C-AB44-5095F600D6BB}"/>
                </c:ext>
              </c:extLst>
            </c:dLbl>
            <c:dLbl>
              <c:idx val="31"/>
              <c:tx>
                <c:strRef>
                  <c:f>Graph!$A$33</c:f>
                  <c:strCache>
                    <c:ptCount val="1"/>
                    <c:pt idx="0">
                      <c:v>Artoria Pendragon (Archer)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{8ADF1528-15AC-4197-B4CA-E16C764EA131}</c15:txfldGUID>
                      <c15:f>Graph!$A$33</c15:f>
                      <c15:dlblFieldTableCache>
                        <c:ptCount val="1"/>
                        <c:pt idx="0">
                          <c:v>Artoria Pendragon (Archer)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4FDA-4A7C-AB44-5095F600D6BB}"/>
                </c:ext>
              </c:extLst>
            </c:dLbl>
            <c:dLbl>
              <c:idx val="32"/>
              <c:tx>
                <c:strRef>
                  <c:f>Graph!$A$34</c:f>
                  <c:strCache>
                    <c:ptCount val="1"/>
                    <c:pt idx="0">
                      <c:v>Hassan of Serenity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{1CDE7197-8D61-46F3-BB34-49C3384ACDFA}</c15:txfldGUID>
                      <c15:f>Graph!$A$34</c15:f>
                      <c15:dlblFieldTableCache>
                        <c:ptCount val="1"/>
                        <c:pt idx="0">
                          <c:v>Hassan of Serenity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4FDA-4A7C-AB44-5095F600D6BB}"/>
                </c:ext>
              </c:extLst>
            </c:dLbl>
            <c:dLbl>
              <c:idx val="33"/>
              <c:tx>
                <c:strRef>
                  <c:f>Graph!$A$35</c:f>
                  <c:strCache>
                    <c:ptCount val="1"/>
                    <c:pt idx="0">
                      <c:v>Mysterious Heroine X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{D6BAB032-2708-404E-BB61-780000B0F29F}</c15:txfldGUID>
                      <c15:f>Graph!$A$35</c15:f>
                      <c15:dlblFieldTableCache>
                        <c:ptCount val="1"/>
                        <c:pt idx="0">
                          <c:v>Mysterious Heroine X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4FDA-4A7C-AB44-5095F600D6BB}"/>
                </c:ext>
              </c:extLst>
            </c:dLbl>
            <c:dLbl>
              <c:idx val="34"/>
              <c:tx>
                <c:strRef>
                  <c:f>Graph!$A$36</c:f>
                  <c:strCache>
                    <c:ptCount val="1"/>
                    <c:pt idx="0">
                      <c:v>Meltlilith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{B3DD8E4D-1EEE-4C1E-9B67-7FEBE3AD7D43}</c15:txfldGUID>
                      <c15:f>Graph!$A$36</c15:f>
                      <c15:dlblFieldTableCache>
                        <c:ptCount val="1"/>
                        <c:pt idx="0">
                          <c:v>Meltlilith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4FDA-4A7C-AB44-5095F600D6BB}"/>
                </c:ext>
              </c:extLst>
            </c:dLbl>
            <c:dLbl>
              <c:idx val="35"/>
              <c:tx>
                <c:strRef>
                  <c:f>Graph!$A$37</c:f>
                  <c:strCache>
                    <c:ptCount val="1"/>
                    <c:pt idx="0">
                      <c:v>Gilgamesh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{0381E141-F649-4C7D-9200-17147808F99C}</c15:txfldGUID>
                      <c15:f>Graph!$A$37</c15:f>
                      <c15:dlblFieldTableCache>
                        <c:ptCount val="1"/>
                        <c:pt idx="0">
                          <c:v>Gilgamesh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4FDA-4A7C-AB44-5095F600D6BB}"/>
                </c:ext>
              </c:extLst>
            </c:dLbl>
            <c:dLbl>
              <c:idx val="36"/>
              <c:tx>
                <c:strRef>
                  <c:f>Graph!$A$38</c:f>
                  <c:strCache>
                    <c:ptCount val="1"/>
                    <c:pt idx="0">
                      <c:v>Edmond Dantes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{3255AC4F-A8DA-4548-AB18-06AA668507EB}</c15:txfldGUID>
                      <c15:f>Graph!$A$38</c15:f>
                      <c15:dlblFieldTableCache>
                        <c:ptCount val="1"/>
                        <c:pt idx="0">
                          <c:v>Edmond Dantes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4FDA-4A7C-AB44-5095F600D6BB}"/>
                </c:ext>
              </c:extLst>
            </c:dLbl>
            <c:dLbl>
              <c:idx val="37"/>
              <c:tx>
                <c:strRef>
                  <c:f>Graph!$A$39</c:f>
                  <c:strCache>
                    <c:ptCount val="1"/>
                    <c:pt idx="0">
                      <c:v>Merlin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{97D85D6D-06A0-46A7-BF1E-C232DA950611}</c15:txfldGUID>
                      <c15:f>Graph!$A$39</c15:f>
                      <c15:dlblFieldTableCache>
                        <c:ptCount val="1"/>
                        <c:pt idx="0">
                          <c:v>Merlin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4FDA-4A7C-AB44-5095F600D6BB}"/>
                </c:ext>
              </c:extLst>
            </c:dLbl>
            <c:dLbl>
              <c:idx val="38"/>
              <c:tx>
                <c:strRef>
                  <c:f>Graph!$A$40</c:f>
                  <c:strCache>
                    <c:ptCount val="1"/>
                    <c:pt idx="0">
                      <c:v>BB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{EE117BC9-D612-4052-A39B-A5144DB82EF0}</c15:txfldGUID>
                      <c15:f>Graph!$A$40</c15:f>
                      <c15:dlblFieldTableCache>
                        <c:ptCount val="1"/>
                        <c:pt idx="0">
                          <c:v>BB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4FDA-4A7C-AB44-5095F600D6BB}"/>
                </c:ext>
              </c:extLst>
            </c:dLbl>
            <c:dLbl>
              <c:idx val="39"/>
              <c:tx>
                <c:strRef>
                  <c:f>Graph!$A$41</c:f>
                  <c:strCache>
                    <c:ptCount val="1"/>
                    <c:pt idx="0">
                      <c:v>Shuten Douji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{FCE8357D-CE7A-43E7-A721-3BFCA9E5DF9F}</c15:txfldGUID>
                      <c15:f>Graph!$A$41</c15:f>
                      <c15:dlblFieldTableCache>
                        <c:ptCount val="1"/>
                        <c:pt idx="0">
                          <c:v>Shuten Douji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4FDA-4A7C-AB44-5095F600D6BB}"/>
                </c:ext>
              </c:extLst>
            </c:dLbl>
            <c:dLbl>
              <c:idx val="40"/>
              <c:tx>
                <c:strRef>
                  <c:f>Graph!$A$42</c:f>
                  <c:strCache>
                    <c:ptCount val="1"/>
                    <c:pt idx="0">
                      <c:v>Thomas Edison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{11385C48-39C6-4A67-8329-4D8C88E80A3A}</c15:txfldGUID>
                      <c15:f>Graph!$A$42</c15:f>
                      <c15:dlblFieldTableCache>
                        <c:ptCount val="1"/>
                        <c:pt idx="0">
                          <c:v>Thomas Edison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4FDA-4A7C-AB44-5095F600D6BB}"/>
                </c:ext>
              </c:extLst>
            </c:dLbl>
            <c:dLbl>
              <c:idx val="41"/>
              <c:tx>
                <c:strRef>
                  <c:f>Graph!$A$43</c:f>
                  <c:strCache>
                    <c:ptCount val="1"/>
                    <c:pt idx="0">
                      <c:v>Wolfgang Amadeus Mozart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{FFC8C98C-AA90-48DF-ACD8-3AF00E33EDF2}</c15:txfldGUID>
                      <c15:f>Graph!$A$43</c15:f>
                      <c15:dlblFieldTableCache>
                        <c:ptCount val="1"/>
                        <c:pt idx="0">
                          <c:v>Wolfgang Amadeus Mozart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4FDA-4A7C-AB44-5095F600D6BB}"/>
                </c:ext>
              </c:extLst>
            </c:dLbl>
            <c:dLbl>
              <c:idx val="42"/>
              <c:tx>
                <c:strRef>
                  <c:f>Graph!$A$44</c:f>
                  <c:strCache>
                    <c:ptCount val="1"/>
                    <c:pt idx="0">
                      <c:v>Robin Hood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{B695CC7D-3DC7-4986-A5EE-D942B6FF1FF6}</c15:txfldGUID>
                      <c15:f>Graph!$A$44</c15:f>
                      <c15:dlblFieldTableCache>
                        <c:ptCount val="1"/>
                        <c:pt idx="0">
                          <c:v>Robin Hood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4FDA-4A7C-AB44-5095F600D6BB}"/>
                </c:ext>
              </c:extLst>
            </c:dLbl>
            <c:dLbl>
              <c:idx val="43"/>
              <c:tx>
                <c:strRef>
                  <c:f>Graph!$A$45</c:f>
                  <c:strCache>
                    <c:ptCount val="1"/>
                    <c:pt idx="0">
                      <c:v>EMIYA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{D832ED34-14C8-468F-9FA6-C4E3A87ECF4B}</c15:txfldGUID>
                      <c15:f>Graph!$A$45</c15:f>
                      <c15:dlblFieldTableCache>
                        <c:ptCount val="1"/>
                        <c:pt idx="0">
                          <c:v>EMIYA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4FDA-4A7C-AB44-5095F600D6BB}"/>
                </c:ext>
              </c:extLst>
            </c:dLbl>
            <c:dLbl>
              <c:idx val="44"/>
              <c:tx>
                <c:strRef>
                  <c:f>Graph!$A$46</c:f>
                  <c:strCache>
                    <c:ptCount val="1"/>
                    <c:pt idx="0">
                      <c:v>Artoria Pendragon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{52109A1B-5F9A-4273-8451-3FD3941B98B1}</c15:txfldGUID>
                      <c15:f>Graph!$A$46</c15:f>
                      <c15:dlblFieldTableCache>
                        <c:ptCount val="1"/>
                        <c:pt idx="0">
                          <c:v>Artoria Pendragon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4FDA-4A7C-AB44-5095F600D6BB}"/>
                </c:ext>
              </c:extLst>
            </c:dLbl>
            <c:dLbl>
              <c:idx val="45"/>
              <c:tx>
                <c:strRef>
                  <c:f>Graph!$A$47</c:f>
                  <c:strCache>
                    <c:ptCount val="1"/>
                    <c:pt idx="0">
                      <c:v>Jing Ke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{AB355138-D64B-4465-8504-95DDF043C8A0}</c15:txfldGUID>
                      <c15:f>Graph!$A$47</c15:f>
                      <c15:dlblFieldTableCache>
                        <c:ptCount val="1"/>
                        <c:pt idx="0">
                          <c:v>Jing Ke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4FDA-4A7C-AB44-5095F600D6BB}"/>
                </c:ext>
              </c:extLst>
            </c:dLbl>
            <c:dLbl>
              <c:idx val="46"/>
              <c:tx>
                <c:strRef>
                  <c:f>Graph!$A$48</c:f>
                  <c:strCache>
                    <c:ptCount val="1"/>
                    <c:pt idx="0">
                      <c:v>Euryale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{1A46938E-0F55-4DB1-A1B7-E1CB56EC12DA}</c15:txfldGUID>
                      <c15:f>Graph!$A$48</c15:f>
                      <c15:dlblFieldTableCache>
                        <c:ptCount val="1"/>
                        <c:pt idx="0">
                          <c:v>Euryale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4FDA-4A7C-AB44-5095F600D6BB}"/>
                </c:ext>
              </c:extLst>
            </c:dLbl>
            <c:dLbl>
              <c:idx val="47"/>
              <c:tx>
                <c:strRef>
                  <c:f>Graph!$A$49</c:f>
                  <c:strCache>
                    <c:ptCount val="1"/>
                    <c:pt idx="0">
                      <c:v>Elizabeth Bathory (Halloween)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{F8227060-2243-4FC1-84E3-6614E6642710}</c15:txfldGUID>
                      <c15:f>Graph!$A$49</c15:f>
                      <c15:dlblFieldTableCache>
                        <c:ptCount val="1"/>
                        <c:pt idx="0">
                          <c:v>Elizabeth Bathory (Halloween)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4FDA-4A7C-AB44-5095F600D6BB}"/>
                </c:ext>
              </c:extLst>
            </c:dLbl>
            <c:dLbl>
              <c:idx val="48"/>
              <c:tx>
                <c:strRef>
                  <c:f>Graph!$A$50</c:f>
                  <c:strCache>
                    <c:ptCount val="1"/>
                    <c:pt idx="0">
                      <c:v>The Phantom of the Opera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{EE53358F-DC59-46CE-9B2D-A0BAEB5F88CB}</c15:txfldGUID>
                      <c15:f>Graph!$A$50</c15:f>
                      <c15:dlblFieldTableCache>
                        <c:ptCount val="1"/>
                        <c:pt idx="0">
                          <c:v>The Phantom of the Opera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4FDA-4A7C-AB44-5095F600D6BB}"/>
                </c:ext>
              </c:extLst>
            </c:dLbl>
            <c:dLbl>
              <c:idx val="49"/>
              <c:tx>
                <c:strRef>
                  <c:f>Graph!$A$51</c:f>
                  <c:strCache>
                    <c:ptCount val="1"/>
                    <c:pt idx="0">
                      <c:v>Jaguar Man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{BBE0927F-0E1D-4FCB-9E34-AC49F1322479}</c15:txfldGUID>
                      <c15:f>Graph!$A$51</c15:f>
                      <c15:dlblFieldTableCache>
                        <c:ptCount val="1"/>
                        <c:pt idx="0">
                          <c:v>Jaguar Man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4FDA-4A7C-AB44-5095F600D6BB}"/>
                </c:ext>
              </c:extLst>
            </c:dLbl>
            <c:dLbl>
              <c:idx val="50"/>
              <c:tx>
                <c:strRef>
                  <c:f>Graph!$A$52</c:f>
                  <c:strCache>
                    <c:ptCount val="1"/>
                    <c:pt idx="0">
                      <c:v>Kiyohime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{FC7EB0D3-11D9-4D40-A02C-519713C353E7}</c15:txfldGUID>
                      <c15:f>Graph!$A$52</c15:f>
                      <c15:dlblFieldTableCache>
                        <c:ptCount val="1"/>
                        <c:pt idx="0">
                          <c:v>Kiyohime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4FDA-4A7C-AB44-5095F600D6BB}"/>
                </c:ext>
              </c:extLst>
            </c:dLbl>
            <c:dLbl>
              <c:idx val="51"/>
              <c:tx>
                <c:strRef>
                  <c:f>Graph!$A$53</c:f>
                  <c:strCache>
                    <c:ptCount val="1"/>
                    <c:pt idx="0">
                      <c:v>Hundred-Faced Hassan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{646F1D4F-C06E-41B7-AF10-ED31F20D850D}</c15:txfldGUID>
                      <c15:f>Graph!$A$53</c15:f>
                      <c15:dlblFieldTableCache>
                        <c:ptCount val="1"/>
                        <c:pt idx="0">
                          <c:v>Hundred-Faced Hassan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4FDA-4A7C-AB44-5095F600D6BB}"/>
                </c:ext>
              </c:extLst>
            </c:dLbl>
            <c:dLbl>
              <c:idx val="52"/>
              <c:tx>
                <c:strRef>
                  <c:f>Graph!$A$54</c:f>
                  <c:strCache>
                    <c:ptCount val="1"/>
                    <c:pt idx="0">
                      <c:v>Amakusa Shirou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{7B74BD5E-2623-4E73-80F1-D4E3AD18752A}</c15:txfldGUID>
                      <c15:f>Graph!$A$54</c15:f>
                      <c15:dlblFieldTableCache>
                        <c:ptCount val="1"/>
                        <c:pt idx="0">
                          <c:v>Amakusa Shirou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4FDA-4A7C-AB44-5095F600D6BB}"/>
                </c:ext>
              </c:extLst>
            </c:dLbl>
            <c:dLbl>
              <c:idx val="53"/>
              <c:tx>
                <c:strRef>
                  <c:f>Graph!$A$55</c:f>
                  <c:strCache>
                    <c:ptCount val="1"/>
                    <c:pt idx="0">
                      <c:v>Mordred (Rider)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{D0FB2870-4ABA-42DF-80D3-A37A9FDF0684}</c15:txfldGUID>
                      <c15:f>Graph!$A$55</c15:f>
                      <c15:dlblFieldTableCache>
                        <c:ptCount val="1"/>
                        <c:pt idx="0">
                          <c:v>Mordred (Rider)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4FDA-4A7C-AB44-5095F600D6BB}"/>
                </c:ext>
              </c:extLst>
            </c:dLbl>
            <c:dLbl>
              <c:idx val="54"/>
              <c:tx>
                <c:strRef>
                  <c:f>Graph!$A$56</c:f>
                  <c:strCache>
                    <c:ptCount val="1"/>
                    <c:pt idx="0">
                      <c:v>Marie Antoinette (Caster)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{FB8E0AC9-7134-434E-AE64-DEFB0FD4D36F}</c15:txfldGUID>
                      <c15:f>Graph!$A$56</c15:f>
                      <c15:dlblFieldTableCache>
                        <c:ptCount val="1"/>
                        <c:pt idx="0">
                          <c:v>Marie Antoinette (Caster)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4FDA-4A7C-AB44-5095F600D6BB}"/>
                </c:ext>
              </c:extLst>
            </c:dLbl>
            <c:dLbl>
              <c:idx val="55"/>
              <c:tx>
                <c:strRef>
                  <c:f>Graph!$A$57</c:f>
                  <c:strCache>
                    <c:ptCount val="1"/>
                    <c:pt idx="0">
                      <c:v>Karna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{DC2C31DC-CE8C-4708-A035-EE35C1326544}</c15:txfldGUID>
                      <c15:f>Graph!$A$57</c15:f>
                      <c15:dlblFieldTableCache>
                        <c:ptCount val="1"/>
                        <c:pt idx="0">
                          <c:v>Karna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4FDA-4A7C-AB44-5095F600D6BB}"/>
                </c:ext>
              </c:extLst>
            </c:dLbl>
            <c:dLbl>
              <c:idx val="56"/>
              <c:tx>
                <c:strRef>
                  <c:f>Graph!$A$58</c:f>
                  <c:strCache>
                    <c:ptCount val="1"/>
                    <c:pt idx="0">
                      <c:v>Arjuna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{DEFB6F21-3AB7-4F38-92B7-0D0AA58F60BA}</c15:txfldGUID>
                      <c15:f>Graph!$A$58</c15:f>
                      <c15:dlblFieldTableCache>
                        <c:ptCount val="1"/>
                        <c:pt idx="0">
                          <c:v>Arjuna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4FDA-4A7C-AB44-5095F600D6BB}"/>
                </c:ext>
              </c:extLst>
            </c:dLbl>
            <c:dLbl>
              <c:idx val="57"/>
              <c:tx>
                <c:strRef>
                  <c:f>Graph!$A$59</c:f>
                  <c:strCache>
                    <c:ptCount val="1"/>
                    <c:pt idx="0">
                      <c:v>Nikola Tesla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{9EF875AA-C64F-4B54-B887-D46D13A831BF}</c15:txfldGUID>
                      <c15:f>Graph!$A$59</c15:f>
                      <c15:dlblFieldTableCache>
                        <c:ptCount val="1"/>
                        <c:pt idx="0">
                          <c:v>Nikola Tesla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4FDA-4A7C-AB44-5095F600D6BB}"/>
                </c:ext>
              </c:extLst>
            </c:dLbl>
            <c:dLbl>
              <c:idx val="58"/>
              <c:tx>
                <c:strRef>
                  <c:f>Graph!$A$60</c:f>
                  <c:strCache>
                    <c:ptCount val="1"/>
                    <c:pt idx="0">
                      <c:v>Hijikata Toshizou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{0EBE7B00-E211-4AE0-A120-750BED1290D7}</c15:txfldGUID>
                      <c15:f>Graph!$A$60</c15:f>
                      <c15:dlblFieldTableCache>
                        <c:ptCount val="1"/>
                        <c:pt idx="0">
                          <c:v>Hijikata Toshizou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4FDA-4A7C-AB44-5095F600D6BB}"/>
                </c:ext>
              </c:extLst>
            </c:dLbl>
            <c:dLbl>
              <c:idx val="59"/>
              <c:tx>
                <c:strRef>
                  <c:f>Graph!$A$61</c:f>
                  <c:strCache>
                    <c:ptCount val="1"/>
                    <c:pt idx="0">
                      <c:v>King Hassan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{363B5A5F-9363-447E-8DFE-5C83DDFCA8BB}</c15:txfldGUID>
                      <c15:f>Graph!$A$61</c15:f>
                      <c15:dlblFieldTableCache>
                        <c:ptCount val="1"/>
                        <c:pt idx="0">
                          <c:v>King Hassan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4FDA-4A7C-AB44-5095F600D6BB}"/>
                </c:ext>
              </c:extLst>
            </c:dLbl>
            <c:dLbl>
              <c:idx val="60"/>
              <c:tx>
                <c:strRef>
                  <c:f>Graph!$A$62</c:f>
                  <c:strCache>
                    <c:ptCount val="1"/>
                    <c:pt idx="0">
                      <c:v>Zhuge Liang (Lord El-Melloi II)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{C6BCCC88-7C65-4CA3-B027-21AE2802AFD0}</c15:txfldGUID>
                      <c15:f>Graph!$A$62</c15:f>
                      <c15:dlblFieldTableCache>
                        <c:ptCount val="1"/>
                        <c:pt idx="0">
                          <c:v>Zhuge Liang (Lord El-Melloi II)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4FDA-4A7C-AB44-5095F600D6BB}"/>
                </c:ext>
              </c:extLst>
            </c:dLbl>
            <c:dLbl>
              <c:idx val="61"/>
              <c:tx>
                <c:strRef>
                  <c:f>Graph!$A$63</c:f>
                  <c:strCache>
                    <c:ptCount val="1"/>
                    <c:pt idx="0">
                      <c:v>Suzuka Gozen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{4E05BDAD-28B6-44C2-8DA9-0484B975318F}</c15:txfldGUID>
                      <c15:f>Graph!$A$63</c15:f>
                      <c15:dlblFieldTableCache>
                        <c:ptCount val="1"/>
                        <c:pt idx="0">
                          <c:v>Suzuka Gozen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4FDA-4A7C-AB44-5095F600D6BB}"/>
                </c:ext>
              </c:extLst>
            </c:dLbl>
            <c:dLbl>
              <c:idx val="62"/>
              <c:tx>
                <c:strRef>
                  <c:f>Graph!$A$64</c:f>
                  <c:strCache>
                    <c:ptCount val="1"/>
                    <c:pt idx="0">
                      <c:v>Tamamo no Mae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{3A5596B4-8321-47D0-BD55-E1F614378EED}</c15:txfldGUID>
                      <c15:f>Graph!$A$64</c15:f>
                      <c15:dlblFieldTableCache>
                        <c:ptCount val="1"/>
                        <c:pt idx="0">
                          <c:v>Tamamo no Mae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4FDA-4A7C-AB44-5095F600D6BB}"/>
                </c:ext>
              </c:extLst>
            </c:dLbl>
            <c:dLbl>
              <c:idx val="63"/>
              <c:tx>
                <c:strRef>
                  <c:f>Graph!$A$65</c:f>
                  <c:strCache>
                    <c:ptCount val="1"/>
                    <c:pt idx="0">
                      <c:v>Hessian Lobo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{3C0A1422-ECC1-4CDF-981A-EAC7ECD0139B}</c15:txfldGUID>
                      <c15:f>Graph!$A$65</c15:f>
                      <c15:dlblFieldTableCache>
                        <c:ptCount val="1"/>
                        <c:pt idx="0">
                          <c:v>Hessian Lobo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4FDA-4A7C-AB44-5095F600D6BB}"/>
                </c:ext>
              </c:extLst>
            </c:dLbl>
            <c:dLbl>
              <c:idx val="64"/>
              <c:tx>
                <c:strRef>
                  <c:f>Graph!$A$66</c:f>
                  <c:strCache>
                    <c:ptCount val="1"/>
                    <c:pt idx="0">
                      <c:v>Nursery Rhyme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{5D221440-0CCB-4ED8-A692-57F877325AA9}</c15:txfldGUID>
                      <c15:f>Graph!$A$66</c15:f>
                      <c15:dlblFieldTableCache>
                        <c:ptCount val="1"/>
                        <c:pt idx="0">
                          <c:v>Nursery Rhyme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4FDA-4A7C-AB44-5095F600D6BB}"/>
                </c:ext>
              </c:extLst>
            </c:dLbl>
            <c:dLbl>
              <c:idx val="65"/>
              <c:tx>
                <c:strRef>
                  <c:f>Graph!$A$67</c:f>
                  <c:strCache>
                    <c:ptCount val="1"/>
                    <c:pt idx="0">
                      <c:v>Mashu Kyrielight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{EB57675C-75EF-4658-A88F-639E1B7B5F2D}</c15:txfldGUID>
                      <c15:f>Graph!$A$67</c15:f>
                      <c15:dlblFieldTableCache>
                        <c:ptCount val="1"/>
                        <c:pt idx="0">
                          <c:v>Mashu Kyrielight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4FDA-4A7C-AB44-5095F600D6BB}"/>
                </c:ext>
              </c:extLst>
            </c:dLbl>
            <c:dLbl>
              <c:idx val="66"/>
              <c:tx>
                <c:strRef>
                  <c:f>Graph!$A$68</c:f>
                  <c:strCache>
                    <c:ptCount val="1"/>
                    <c:pt idx="0">
                      <c:v>Quetzalcoatl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{AF41721A-76F8-479E-A921-7842938E9F0C}</c15:txfldGUID>
                      <c15:f>Graph!$A$68</c15:f>
                      <c15:dlblFieldTableCache>
                        <c:ptCount val="1"/>
                        <c:pt idx="0">
                          <c:v>Quetzalcoatl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4FDA-4A7C-AB44-5095F600D6BB}"/>
                </c:ext>
              </c:extLst>
            </c:dLbl>
            <c:dLbl>
              <c:idx val="67"/>
              <c:tx>
                <c:strRef>
                  <c:f>Graph!$A$69</c:f>
                  <c:strCache>
                    <c:ptCount val="1"/>
                    <c:pt idx="0">
                      <c:v>Jeanne d'Arc (Alter) (Santa Lily)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{78B69C03-004A-414B-BACF-EF86F26AB5D6}</c15:txfldGUID>
                      <c15:f>Graph!$A$69</c15:f>
                      <c15:dlblFieldTableCache>
                        <c:ptCount val="1"/>
                        <c:pt idx="0">
                          <c:v>Jeanne d'Arc (Alter) (Santa Lily)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4FDA-4A7C-AB44-5095F600D6BB}"/>
                </c:ext>
              </c:extLst>
            </c:dLbl>
            <c:dLbl>
              <c:idx val="68"/>
              <c:tx>
                <c:strRef>
                  <c:f>Graph!$A$70</c:f>
                  <c:strCache>
                    <c:ptCount val="1"/>
                    <c:pt idx="0">
                      <c:v>Illyasviel von Einzbern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{64DC7C60-DFF9-4A8B-B1A6-03F20CACAA0F}</c15:txfldGUID>
                      <c15:f>Graph!$A$70</c15:f>
                      <c15:dlblFieldTableCache>
                        <c:ptCount val="1"/>
                        <c:pt idx="0">
                          <c:v>Illyasviel von Einzbern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4FDA-4A7C-AB44-5095F600D6BB}"/>
                </c:ext>
              </c:extLst>
            </c:dLbl>
            <c:dLbl>
              <c:idx val="69"/>
              <c:tx>
                <c:strRef>
                  <c:f>Graph!$A$71</c:f>
                  <c:strCache>
                    <c:ptCount val="1"/>
                    <c:pt idx="0">
                      <c:v>Brynhildr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{FDB05ECA-BF45-4BD2-95F5-3B1C533BFF84}</c15:txfldGUID>
                      <c15:f>Graph!$A$71</c15:f>
                      <c15:dlblFieldTableCache>
                        <c:ptCount val="1"/>
                        <c:pt idx="0">
                          <c:v>Brynhildr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4FDA-4A7C-AB44-5095F600D6BB}"/>
                </c:ext>
              </c:extLst>
            </c:dLbl>
            <c:dLbl>
              <c:idx val="70"/>
              <c:tx>
                <c:strRef>
                  <c:f>Graph!$A$72</c:f>
                  <c:strCache>
                    <c:ptCount val="1"/>
                    <c:pt idx="0">
                      <c:v>Billy The Kid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{B0C37D37-0956-46EF-96FB-2A64EF55219B}</c15:txfldGUID>
                      <c15:f>Graph!$A$72</c15:f>
                      <c15:dlblFieldTableCache>
                        <c:ptCount val="1"/>
                        <c:pt idx="0">
                          <c:v>Billy The Kid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4FDA-4A7C-AB44-5095F600D6BB}"/>
                </c:ext>
              </c:extLst>
            </c:dLbl>
            <c:dLbl>
              <c:idx val="71"/>
              <c:tx>
                <c:strRef>
                  <c:f>Graph!$A$73</c:f>
                  <c:strCache>
                    <c:ptCount val="1"/>
                    <c:pt idx="0">
                      <c:v>Mephistopheles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{304AF0A5-44B5-415C-A15A-D5BCBAC9AEFC}</c15:txfldGUID>
                      <c15:f>Graph!$A$73</c15:f>
                      <c15:dlblFieldTableCache>
                        <c:ptCount val="1"/>
                        <c:pt idx="0">
                          <c:v>Mephistopheles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4FDA-4A7C-AB44-5095F600D6BB}"/>
                </c:ext>
              </c:extLst>
            </c:dLbl>
            <c:dLbl>
              <c:idx val="72"/>
              <c:tx>
                <c:strRef>
                  <c:f>Graph!$A$74</c:f>
                  <c:strCache>
                    <c:ptCount val="1"/>
                    <c:pt idx="0">
                      <c:v>Angra Mainyu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{7F412032-8809-4894-A8F2-C72E6FD0EE20}</c15:txfldGUID>
                      <c15:f>Graph!$A$74</c15:f>
                      <c15:dlblFieldTableCache>
                        <c:ptCount val="1"/>
                        <c:pt idx="0">
                          <c:v>Angra Mainyu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4FDA-4A7C-AB44-5095F600D6BB}"/>
                </c:ext>
              </c:extLst>
            </c:dLbl>
            <c:dLbl>
              <c:idx val="73"/>
              <c:tx>
                <c:strRef>
                  <c:f>Graph!$A$75</c:f>
                  <c:strCache>
                    <c:ptCount val="1"/>
                    <c:pt idx="0">
                      <c:v>Scathach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{D1A3B445-2DE1-435D-AAE6-3E9CFCE520E2}</c15:txfldGUID>
                      <c15:f>Graph!$A$75</c15:f>
                      <c15:dlblFieldTableCache>
                        <c:ptCount val="1"/>
                        <c:pt idx="0">
                          <c:v>Scathach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4FDA-4A7C-AB44-5095F600D6BB}"/>
                </c:ext>
              </c:extLst>
            </c:dLbl>
            <c:dLbl>
              <c:idx val="74"/>
              <c:tx>
                <c:strRef>
                  <c:f>Graph!$A$76</c:f>
                  <c:strCache>
                    <c:ptCount val="1"/>
                    <c:pt idx="0">
                      <c:v>EMIYA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{7C3DA93B-E40E-49A8-AEEB-068AA6FEA193}</c15:txfldGUID>
                      <c15:f>Graph!$A$76</c15:f>
                      <c15:dlblFieldTableCache>
                        <c:ptCount val="1"/>
                        <c:pt idx="0">
                          <c:v>EMIYA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4FDA-4A7C-AB44-5095F600D6BB}"/>
                </c:ext>
              </c:extLst>
            </c:dLbl>
            <c:dLbl>
              <c:idx val="75"/>
              <c:tx>
                <c:strRef>
                  <c:f>Graph!$A$77</c:f>
                  <c:strCache>
                    <c:ptCount val="1"/>
                    <c:pt idx="0">
                      <c:v>Nero Claudius (Bride)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{3A27B0F8-A42D-4426-8A7A-D1CC074AAB8B}</c15:txfldGUID>
                      <c15:f>Graph!$A$77</c15:f>
                      <c15:dlblFieldTableCache>
                        <c:ptCount val="1"/>
                        <c:pt idx="0">
                          <c:v>Nero Claudius (Bride)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4FDA-4A7C-AB44-5095F600D6BB}"/>
                </c:ext>
              </c:extLst>
            </c:dLbl>
            <c:dLbl>
              <c:idx val="76"/>
              <c:tx>
                <c:strRef>
                  <c:f>Graph!$A$78</c:f>
                  <c:strCache>
                    <c:ptCount val="1"/>
                    <c:pt idx="0">
                      <c:v>Ramesse II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{55333704-D812-4EB6-B888-AAE3893270E4}</c15:txfldGUID>
                      <c15:f>Graph!$A$78</c15:f>
                      <c15:dlblFieldTableCache>
                        <c:ptCount val="1"/>
                        <c:pt idx="0">
                          <c:v>Ramesse II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4FDA-4A7C-AB44-5095F600D6BB}"/>
                </c:ext>
              </c:extLst>
            </c:dLbl>
            <c:dLbl>
              <c:idx val="77"/>
              <c:tx>
                <c:strRef>
                  <c:f>Graph!$A$79</c:f>
                  <c:strCache>
                    <c:ptCount val="1"/>
                    <c:pt idx="0">
                      <c:v>Charles-Henri Sanson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{1702A959-F4CF-4B14-B0FE-E624C66765AF}</c15:txfldGUID>
                      <c15:f>Graph!$A$79</c15:f>
                      <c15:dlblFieldTableCache>
                        <c:ptCount val="1"/>
                        <c:pt idx="0">
                          <c:v>Charles-Henri Sanson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4FDA-4A7C-AB44-5095F600D6BB}"/>
                </c:ext>
              </c:extLst>
            </c:dLbl>
            <c:dLbl>
              <c:idx val="78"/>
              <c:tx>
                <c:strRef>
                  <c:f>Graph!$A$80</c:f>
                  <c:strCache>
                    <c:ptCount val="1"/>
                    <c:pt idx="0">
                      <c:v>Jeanne d'Arc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{AEC69964-7890-4986-A868-680138FDCE01}</c15:txfldGUID>
                      <c15:f>Graph!$A$80</c15:f>
                      <c15:dlblFieldTableCache>
                        <c:ptCount val="1"/>
                        <c:pt idx="0">
                          <c:v>Jeanne d'Arc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4FDA-4A7C-AB44-5095F600D6BB}"/>
                </c:ext>
              </c:extLst>
            </c:dLbl>
            <c:dLbl>
              <c:idx val="79"/>
              <c:tx>
                <c:strRef>
                  <c:f>Graph!$A$81</c:f>
                  <c:strCache>
                    <c:ptCount val="1"/>
                    <c:pt idx="0">
                      <c:v>Cu Chulainn (Caster)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{CBAD3F34-F928-4973-A1F8-05D182F865DA}</c15:txfldGUID>
                      <c15:f>Graph!$A$81</c15:f>
                      <c15:dlblFieldTableCache>
                        <c:ptCount val="1"/>
                        <c:pt idx="0">
                          <c:v>Cu Chulainn (Caster)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4FDA-4A7C-AB44-5095F600D6BB}"/>
                </c:ext>
              </c:extLst>
            </c:dLbl>
            <c:dLbl>
              <c:idx val="80"/>
              <c:tx>
                <c:strRef>
                  <c:f>Graph!$A$82</c:f>
                  <c:strCache>
                    <c:ptCount val="1"/>
                    <c:pt idx="0">
                      <c:v>Nightingale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{9776E7D3-3EAC-4251-AE61-09896BAAB36A}</c15:txfldGUID>
                      <c15:f>Graph!$A$82</c15:f>
                      <c15:dlblFieldTableCache>
                        <c:ptCount val="1"/>
                        <c:pt idx="0">
                          <c:v>Nightingale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4FDA-4A7C-AB44-5095F600D6BB}"/>
                </c:ext>
              </c:extLst>
            </c:dLbl>
            <c:dLbl>
              <c:idx val="81"/>
              <c:tx>
                <c:strRef>
                  <c:f>Graph!$A$83</c:f>
                  <c:strCache>
                    <c:ptCount val="1"/>
                    <c:pt idx="0">
                      <c:v>Ishtar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{DC9BCD40-5720-4FF3-84A4-AF4C7218340F}</c15:txfldGUID>
                      <c15:f>Graph!$A$83</c15:f>
                      <c15:dlblFieldTableCache>
                        <c:ptCount val="1"/>
                        <c:pt idx="0">
                          <c:v>Ishtar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4FDA-4A7C-AB44-5095F600D6BB}"/>
                </c:ext>
              </c:extLst>
            </c:dLbl>
            <c:dLbl>
              <c:idx val="82"/>
              <c:tx>
                <c:strRef>
                  <c:f>Graph!$A$84</c:f>
                  <c:strCache>
                    <c:ptCount val="1"/>
                    <c:pt idx="0">
                      <c:v>Gaius Julius Caesar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{6AC43FC4-8B4B-46AC-94F1-8DB0B67D6E11}</c15:txfldGUID>
                      <c15:f>Graph!$A$84</c15:f>
                      <c15:dlblFieldTableCache>
                        <c:ptCount val="1"/>
                        <c:pt idx="0">
                          <c:v>Gaius Julius Caesar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4FDA-4A7C-AB44-5095F600D6BB}"/>
                </c:ext>
              </c:extLst>
            </c:dLbl>
            <c:dLbl>
              <c:idx val="83"/>
              <c:tx>
                <c:strRef>
                  <c:f>Graph!$A$85</c:f>
                  <c:strCache>
                    <c:ptCount val="1"/>
                    <c:pt idx="0">
                      <c:v>Ushiwakamaru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{A8539F03-E443-40F0-8A32-E3CDE00AC982}</c15:txfldGUID>
                      <c15:f>Graph!$A$85</c15:f>
                      <c15:dlblFieldTableCache>
                        <c:ptCount val="1"/>
                        <c:pt idx="0">
                          <c:v>Ushiwakamaru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4FDA-4A7C-AB44-5095F600D6BB}"/>
                </c:ext>
              </c:extLst>
            </c:dLbl>
            <c:dLbl>
              <c:idx val="84"/>
              <c:tx>
                <c:strRef>
                  <c:f>Graph!$A$86</c:f>
                  <c:strCache>
                    <c:ptCount val="1"/>
                    <c:pt idx="0">
                      <c:v>Medusa (Lancer)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{E880F0E2-7881-4552-A07A-B553BA35B55C}</c15:txfldGUID>
                      <c15:f>Graph!$A$86</c15:f>
                      <c15:dlblFieldTableCache>
                        <c:ptCount val="1"/>
                        <c:pt idx="0">
                          <c:v>Medusa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4FDA-4A7C-AB44-5095F600D6BB}"/>
                </c:ext>
              </c:extLst>
            </c:dLbl>
            <c:dLbl>
              <c:idx val="85"/>
              <c:tx>
                <c:strRef>
                  <c:f>Graph!$A$87</c:f>
                  <c:strCache>
                    <c:ptCount val="1"/>
                    <c:pt idx="0">
                      <c:v>William Shakespeare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{C1E0DD5D-DA19-4A83-A1D1-953D548157BA}</c15:txfldGUID>
                      <c15:f>Graph!$A$87</c15:f>
                      <c15:dlblFieldTableCache>
                        <c:ptCount val="1"/>
                        <c:pt idx="0">
                          <c:v>William Shakespeare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4FDA-4A7C-AB44-5095F600D6BB}"/>
                </c:ext>
              </c:extLst>
            </c:dLbl>
            <c:dLbl>
              <c:idx val="86"/>
              <c:tx>
                <c:strRef>
                  <c:f>Graph!$A$88</c:f>
                  <c:strCache>
                    <c:ptCount val="1"/>
                    <c:pt idx="0">
                      <c:v>Kid Gil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{435EE50A-81CB-4149-9FC2-33982FA125B9}</c15:txfldGUID>
                      <c15:f>Graph!$A$88</c15:f>
                      <c15:dlblFieldTableCache>
                        <c:ptCount val="1"/>
                        <c:pt idx="0">
                          <c:v>Kid Gil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4FDA-4A7C-AB44-5095F600D6BB}"/>
                </c:ext>
              </c:extLst>
            </c:dLbl>
            <c:dLbl>
              <c:idx val="87"/>
              <c:tx>
                <c:strRef>
                  <c:f>Graph!$A$89</c:f>
                  <c:strCache>
                    <c:ptCount val="1"/>
                    <c:pt idx="0">
                      <c:v>Arthur Pendragon (Prototype)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{D099421E-147D-490E-B9DE-8E31B97B1BB6}</c15:txfldGUID>
                      <c15:f>Graph!$A$89</c15:f>
                      <c15:dlblFieldTableCache>
                        <c:ptCount val="1"/>
                        <c:pt idx="0">
                          <c:v>Arthur Pendragon (Prototype)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4FDA-4A7C-AB44-5095F600D6BB}"/>
                </c:ext>
              </c:extLst>
            </c:dLbl>
            <c:dLbl>
              <c:idx val="88"/>
              <c:tx>
                <c:strRef>
                  <c:f>Graph!$A$90</c:f>
                  <c:strCache>
                    <c:ptCount val="1"/>
                    <c:pt idx="0">
                      <c:v>Li Shuwen (Lancer)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{A3AC7F18-C0FE-4593-9CB2-A7C28432DBBE}</c15:txfldGUID>
                      <c15:f>Graph!$A$90</c15:f>
                      <c15:dlblFieldTableCache>
                        <c:ptCount val="1"/>
                        <c:pt idx="0">
                          <c:v>Li Shuwen (Lancer)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4FDA-4A7C-AB44-5095F600D6BB}"/>
                </c:ext>
              </c:extLst>
            </c:dLbl>
            <c:dLbl>
              <c:idx val="89"/>
              <c:tx>
                <c:strRef>
                  <c:f>Graph!$A$91</c:f>
                  <c:strCache>
                    <c:ptCount val="1"/>
                    <c:pt idx="0">
                      <c:v>Medusa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{FDC04607-360E-4D3E-8FC1-6C1C5830839F}</c15:txfldGUID>
                      <c15:f>Graph!$A$91</c15:f>
                      <c15:dlblFieldTableCache>
                        <c:ptCount val="1"/>
                        <c:pt idx="0">
                          <c:v>Medusa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4FDA-4A7C-AB44-5095F600D6BB}"/>
                </c:ext>
              </c:extLst>
            </c:dLbl>
            <c:dLbl>
              <c:idx val="90"/>
              <c:tx>
                <c:strRef>
                  <c:f>Graph!$A$92</c:f>
                  <c:strCache>
                    <c:ptCount val="1"/>
                    <c:pt idx="0">
                      <c:v>James Moriarty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{CCFAD594-D257-4B71-8CA5-5C6DA4D612EB}</c15:txfldGUID>
                      <c15:f>Graph!$A$92</c15:f>
                      <c15:dlblFieldTableCache>
                        <c:ptCount val="1"/>
                        <c:pt idx="0">
                          <c:v>James Moriarty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4FDA-4A7C-AB44-5095F600D6BB}"/>
                </c:ext>
              </c:extLst>
            </c:dLbl>
            <c:dLbl>
              <c:idx val="91"/>
              <c:tx>
                <c:strRef>
                  <c:f>Graph!$A$93</c:f>
                  <c:strCache>
                    <c:ptCount val="1"/>
                    <c:pt idx="0">
                      <c:v>Diarmuid Ua Duibhne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{FA0E0910-D2DC-41A9-91D0-E25CDEF0E162}</c15:txfldGUID>
                      <c15:f>Graph!$A$93</c15:f>
                      <c15:dlblFieldTableCache>
                        <c:ptCount val="1"/>
                        <c:pt idx="0">
                          <c:v>Diarmuid Ua Duibhne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4FDA-4A7C-AB44-5095F600D6BB}"/>
                </c:ext>
              </c:extLst>
            </c:dLbl>
            <c:dLbl>
              <c:idx val="92"/>
              <c:tx>
                <c:strRef>
                  <c:f>Graph!$A$94</c:f>
                  <c:strCache>
                    <c:ptCount val="1"/>
                    <c:pt idx="0">
                      <c:v>Jeanne d'Arc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{E550CC63-80E8-45C5-BF52-9A92788D9A6C}</c15:txfldGUID>
                      <c15:f>Graph!$A$94</c15:f>
                      <c15:dlblFieldTableCache>
                        <c:ptCount val="1"/>
                        <c:pt idx="0">
                          <c:v>Jeanne d'Arc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4FDA-4A7C-AB44-5095F600D6BB}"/>
                </c:ext>
              </c:extLst>
            </c:dLbl>
            <c:dLbl>
              <c:idx val="93"/>
              <c:tx>
                <c:strRef>
                  <c:f>Graph!$A$95</c:f>
                  <c:strCache>
                    <c:ptCount val="1"/>
                    <c:pt idx="0">
                      <c:v>Leonidas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{A63FE577-1C95-4F67-9DDC-A1E509C52666}</c15:txfldGUID>
                      <c15:f>Graph!$A$95</c15:f>
                      <c15:dlblFieldTableCache>
                        <c:ptCount val="1"/>
                        <c:pt idx="0">
                          <c:v>Leonidas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4FDA-4A7C-AB44-5095F600D6BB}"/>
                </c:ext>
              </c:extLst>
            </c:dLbl>
            <c:dLbl>
              <c:idx val="94"/>
              <c:tx>
                <c:strRef>
                  <c:f>Graph!$A$96</c:f>
                  <c:strCache>
                    <c:ptCount val="1"/>
                    <c:pt idx="0">
                      <c:v>Ryougi Shiki (Saber)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{94A8637F-BBA8-4702-B1FA-A943AB820896}</c15:txfldGUID>
                      <c15:f>Graph!$A$96</c15:f>
                      <c15:dlblFieldTableCache>
                        <c:ptCount val="1"/>
                        <c:pt idx="0">
                          <c:v>Ryougi Shiki (Saber)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4FDA-4A7C-AB44-5095F600D6BB}"/>
                </c:ext>
              </c:extLst>
            </c:dLbl>
            <c:dLbl>
              <c:idx val="95"/>
              <c:tx>
                <c:strRef>
                  <c:f>Graph!$A$97</c:f>
                  <c:strCache>
                    <c:ptCount val="1"/>
                    <c:pt idx="0">
                      <c:v>Gorgon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{2A8144EF-59AD-46FD-8D6F-19F069A2DA5D}</c15:txfldGUID>
                      <c15:f>Graph!$A$97</c15:f>
                      <c15:dlblFieldTableCache>
                        <c:ptCount val="1"/>
                        <c:pt idx="0">
                          <c:v>Gorgon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F-4FDA-4A7C-AB44-5095F600D6BB}"/>
                </c:ext>
              </c:extLst>
            </c:dLbl>
            <c:dLbl>
              <c:idx val="96"/>
              <c:tx>
                <c:strRef>
                  <c:f>Graph!$A$98</c:f>
                  <c:strCache>
                    <c:ptCount val="1"/>
                    <c:pt idx="0">
                      <c:v>Arash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{3D42B6F8-EF98-475C-88E4-15B1130CC537}</c15:txfldGUID>
                      <c15:f>Graph!$A$98</c15:f>
                      <c15:dlblFieldTableCache>
                        <c:ptCount val="1"/>
                        <c:pt idx="0">
                          <c:v>Arash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4FDA-4A7C-AB44-5095F600D6BB}"/>
                </c:ext>
              </c:extLst>
            </c:dLbl>
            <c:dLbl>
              <c:idx val="97"/>
              <c:tx>
                <c:strRef>
                  <c:f>Graph!$A$99</c:f>
                  <c:strCache>
                    <c:ptCount val="1"/>
                    <c:pt idx="0">
                      <c:v>Astolfo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{BB011732-8485-455D-A647-77673A799D38}</c15:txfldGUID>
                      <c15:f>Graph!$A$99</c15:f>
                      <c15:dlblFieldTableCache>
                        <c:ptCount val="1"/>
                        <c:pt idx="0">
                          <c:v>Astolfo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4FDA-4A7C-AB44-5095F600D6BB}"/>
                </c:ext>
              </c:extLst>
            </c:dLbl>
            <c:dLbl>
              <c:idx val="98"/>
              <c:tx>
                <c:strRef>
                  <c:f>Graph!$A$100</c:f>
                  <c:strCache>
                    <c:ptCount val="1"/>
                    <c:pt idx="0">
                      <c:v>Anne Bonny &amp; Mary Read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{BBA3A4CD-2B56-4310-8D56-B54632FF62B5}</c15:txfldGUID>
                      <c15:f>Graph!$A$100</c15:f>
                      <c15:dlblFieldTableCache>
                        <c:ptCount val="1"/>
                        <c:pt idx="0">
                          <c:v>Anne Bonny &amp; Mary Read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4FDA-4A7C-AB44-5095F600D6BB}"/>
                </c:ext>
              </c:extLst>
            </c:dLbl>
            <c:dLbl>
              <c:idx val="99"/>
              <c:tx>
                <c:strRef>
                  <c:f>Graph!$A$101</c:f>
                  <c:strCache>
                    <c:ptCount val="1"/>
                    <c:pt idx="0">
                      <c:v>Bedivere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{CE3D1C98-EC9B-4364-BDB0-FB3E8550B070}</c15:txfldGUID>
                      <c15:f>Graph!$A$101</c15:f>
                      <c15:dlblFieldTableCache>
                        <c:ptCount val="1"/>
                        <c:pt idx="0">
                          <c:v>Bedivere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4FDA-4A7C-AB44-5095F600D6BB}"/>
                </c:ext>
              </c:extLst>
            </c:dLbl>
            <c:dLbl>
              <c:idx val="100"/>
              <c:tx>
                <c:strRef>
                  <c:f>Graph!$A$102</c:f>
                  <c:strCache>
                    <c:ptCount val="1"/>
                    <c:pt idx="0">
                      <c:v>Orion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{1A82D8D1-63D8-4D86-92DF-407925974EFC}</c15:txfldGUID>
                      <c15:f>Graph!$A$102</c15:f>
                      <c15:dlblFieldTableCache>
                        <c:ptCount val="1"/>
                        <c:pt idx="0">
                          <c:v>Orion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4FDA-4A7C-AB44-5095F600D6BB}"/>
                </c:ext>
              </c:extLst>
            </c:dLbl>
            <c:dLbl>
              <c:idx val="101"/>
              <c:tx>
                <c:strRef>
                  <c:f>Graph!$A$103</c:f>
                  <c:strCache>
                    <c:ptCount val="1"/>
                    <c:pt idx="0">
                      <c:v>Alexander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{E2D7CE65-D3D1-4203-8342-13F51C7C5490}</c15:txfldGUID>
                      <c15:f>Graph!$A$103</c15:f>
                      <c15:dlblFieldTableCache>
                        <c:ptCount val="1"/>
                        <c:pt idx="0">
                          <c:v>Alexander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4FDA-4A7C-AB44-5095F600D6BB}"/>
                </c:ext>
              </c:extLst>
            </c:dLbl>
            <c:dLbl>
              <c:idx val="102"/>
              <c:tx>
                <c:strRef>
                  <c:f>Graph!$A$104</c:f>
                  <c:strCache>
                    <c:ptCount val="1"/>
                    <c:pt idx="0">
                      <c:v>Irisviel (Dress of Heaven)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{B8337F63-EB4D-4085-830A-49BF479DDCA3}</c15:txfldGUID>
                      <c15:f>Graph!$A$104</c15:f>
                      <c15:dlblFieldTableCache>
                        <c:ptCount val="1"/>
                        <c:pt idx="0">
                          <c:v>Irisviel (Dress of Heaven)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4FDA-4A7C-AB44-5095F600D6BB}"/>
                </c:ext>
              </c:extLst>
            </c:dLbl>
            <c:dLbl>
              <c:idx val="103"/>
              <c:tx>
                <c:strRef>
                  <c:f>Graph!$A$105</c:f>
                  <c:strCache>
                    <c:ptCount val="1"/>
                    <c:pt idx="0">
                      <c:v>Boudica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{48ECA06D-D7A3-41C3-9590-1E47654DDDD9}</c15:txfldGUID>
                      <c15:f>Graph!$A$105</c15:f>
                      <c15:dlblFieldTableCache>
                        <c:ptCount val="1"/>
                        <c:pt idx="0">
                          <c:v>Boudica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4FDA-4A7C-AB44-5095F600D6BB}"/>
                </c:ext>
              </c:extLst>
            </c:dLbl>
            <c:dLbl>
              <c:idx val="104"/>
              <c:tx>
                <c:strRef>
                  <c:f>Graph!$A$106</c:f>
                  <c:strCache>
                    <c:ptCount val="1"/>
                    <c:pt idx="0">
                      <c:v>Sessyoin Kiara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{88D9D309-3D1C-4D6D-B8B1-7217B34D4F54}</c15:txfldGUID>
                      <c15:f>Graph!$A$106</c15:f>
                      <c15:dlblFieldTableCache>
                        <c:ptCount val="1"/>
                        <c:pt idx="0">
                          <c:v>Sessyoin Kiara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4FDA-4A7C-AB44-5095F600D6BB}"/>
                </c:ext>
              </c:extLst>
            </c:dLbl>
            <c:dLbl>
              <c:idx val="105"/>
              <c:tx>
                <c:strRef>
                  <c:f>Graph!$A$107</c:f>
                  <c:strCache>
                    <c:ptCount val="1"/>
                    <c:pt idx="0">
                      <c:v>Miyamoto Musashi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{139B0797-4096-40C1-BE5B-6CFAAEBCB456}</c15:txfldGUID>
                      <c15:f>Graph!$A$107</c15:f>
                      <c15:dlblFieldTableCache>
                        <c:ptCount val="1"/>
                        <c:pt idx="0">
                          <c:v>Miyamoto Musashi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4FDA-4A7C-AB44-5095F600D6BB}"/>
                </c:ext>
              </c:extLst>
            </c:dLbl>
            <c:dLbl>
              <c:idx val="106"/>
              <c:tx>
                <c:strRef>
                  <c:f>Graph!$A$108</c:f>
                  <c:strCache>
                    <c:ptCount val="1"/>
                    <c:pt idx="0">
                      <c:v>Gilles de Rais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{0A86574C-B538-4922-9CB2-9CA333D97CD9}</c15:txfldGUID>
                      <c15:f>Graph!$A$108</c15:f>
                      <c15:dlblFieldTableCache>
                        <c:ptCount val="1"/>
                        <c:pt idx="0">
                          <c:v>Gilles de Rais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4FDA-4A7C-AB44-5095F600D6BB}"/>
                </c:ext>
              </c:extLst>
            </c:dLbl>
            <c:dLbl>
              <c:idx val="107"/>
              <c:tx>
                <c:strRef>
                  <c:f>Graph!$A$109</c:f>
                  <c:strCache>
                    <c:ptCount val="1"/>
                    <c:pt idx="0">
                      <c:v>Atalanta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{759B0597-5BC9-4EDB-873F-42C38C6AC43F}</c15:txfldGUID>
                      <c15:f>Graph!$A$109</c15:f>
                      <c15:dlblFieldTableCache>
                        <c:ptCount val="1"/>
                        <c:pt idx="0">
                          <c:v>Atalanta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4FDA-4A7C-AB44-5095F600D6BB}"/>
                </c:ext>
              </c:extLst>
            </c:dLbl>
            <c:dLbl>
              <c:idx val="108"/>
              <c:tx>
                <c:strRef>
                  <c:f>Graph!$A$110</c:f>
                  <c:strCache>
                    <c:ptCount val="1"/>
                    <c:pt idx="0">
                      <c:v>Saint Martha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{2E8A9CC1-69B6-424D-A28D-0F2D72C40B1A}</c15:txfldGUID>
                      <c15:f>Graph!$A$110</c15:f>
                      <c15:dlblFieldTableCache>
                        <c:ptCount val="1"/>
                        <c:pt idx="0">
                          <c:v>Saint Martha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4FDA-4A7C-AB44-5095F600D6BB}"/>
                </c:ext>
              </c:extLst>
            </c:dLbl>
            <c:dLbl>
              <c:idx val="109"/>
              <c:tx>
                <c:strRef>
                  <c:f>Graph!$A$111</c:f>
                  <c:strCache>
                    <c:ptCount val="1"/>
                    <c:pt idx="0">
                      <c:v>Cu Chulainn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{77911E11-0416-4101-AC13-2A4E0515EF82}</c15:txfldGUID>
                      <c15:f>Graph!$A$111</c15:f>
                      <c15:dlblFieldTableCache>
                        <c:ptCount val="1"/>
                        <c:pt idx="0">
                          <c:v>Cu Chulainn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4FDA-4A7C-AB44-5095F600D6BB}"/>
                </c:ext>
              </c:extLst>
            </c:dLbl>
            <c:dLbl>
              <c:idx val="110"/>
              <c:tx>
                <c:strRef>
                  <c:f>Graph!$A$112</c:f>
                  <c:strCache>
                    <c:ptCount val="1"/>
                    <c:pt idx="0">
                      <c:v>Elizabeth Bathory (Brave)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{36E7E4C3-3061-4EBE-9552-4BD90CF94EDD}</c15:txfldGUID>
                      <c15:f>Graph!$A$112</c15:f>
                      <c15:dlblFieldTableCache>
                        <c:ptCount val="1"/>
                        <c:pt idx="0">
                          <c:v>Elizabeth Bathory (Brave)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4FDA-4A7C-AB44-5095F600D6BB}"/>
                </c:ext>
              </c:extLst>
            </c:dLbl>
            <c:dLbl>
              <c:idx val="111"/>
              <c:tx>
                <c:strRef>
                  <c:f>Graph!$A$113</c:f>
                  <c:strCache>
                    <c:ptCount val="1"/>
                    <c:pt idx="0">
                      <c:v>Paracelsus Van Hohenheim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{E779557E-1D43-4373-BDE3-CAEA0624C4E9}</c15:txfldGUID>
                      <c15:f>Graph!$A$113</c15:f>
                      <c15:dlblFieldTableCache>
                        <c:ptCount val="1"/>
                        <c:pt idx="0">
                          <c:v>Paracelsus Van Hohenheim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4FDA-4A7C-AB44-5095F600D6BB}"/>
                </c:ext>
              </c:extLst>
            </c:dLbl>
            <c:dLbl>
              <c:idx val="112"/>
              <c:tx>
                <c:strRef>
                  <c:f>Graph!$A$114</c:f>
                  <c:strCache>
                    <c:ptCount val="1"/>
                    <c:pt idx="0">
                      <c:v>Artoria Pendragon (Santa 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{552964B3-D091-482B-B1B5-3459D5F3425B}</c15:txfldGUID>
                      <c15:f>Graph!$A$114</c15:f>
                      <c15:dlblFieldTableCache>
                        <c:ptCount val="1"/>
                        <c:pt idx="0">
                          <c:v>Artoria Pendragon (Santa 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4FDA-4A7C-AB44-5095F600D6BB}"/>
                </c:ext>
              </c:extLst>
            </c:dLbl>
            <c:dLbl>
              <c:idx val="113"/>
              <c:tx>
                <c:strRef>
                  <c:f>Graph!$A$115</c:f>
                  <c:strCache>
                    <c:ptCount val="1"/>
                    <c:pt idx="0">
                      <c:v>Anne Bonny &amp; Mary Read (Archer)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{AE429C2D-9551-4110-96DF-3B08BADBCE7E}</c15:txfldGUID>
                      <c15:f>Graph!$A$115</c15:f>
                      <c15:dlblFieldTableCache>
                        <c:ptCount val="1"/>
                        <c:pt idx="0">
                          <c:v>Anne Bonny &amp; Mary Read (Archer)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4FDA-4A7C-AB44-5095F600D6BB}"/>
                </c:ext>
              </c:extLst>
            </c:dLbl>
            <c:dLbl>
              <c:idx val="114"/>
              <c:tx>
                <c:strRef>
                  <c:f>Graph!$A$116</c:f>
                  <c:strCache>
                    <c:ptCount val="1"/>
                    <c:pt idx="0">
                      <c:v>Saint George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{F3E968A1-AD70-4C71-9C38-F5DE644E7C07}</c15:txfldGUID>
                      <c15:f>Graph!$A$116</c15:f>
                      <c15:dlblFieldTableCache>
                        <c:ptCount val="1"/>
                        <c:pt idx="0">
                          <c:v>Saint George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4FDA-4A7C-AB44-5095F600D6BB}"/>
                </c:ext>
              </c:extLst>
            </c:dLbl>
            <c:dLbl>
              <c:idx val="115"/>
              <c:tx>
                <c:strRef>
                  <c:f>Graph!$A$117</c:f>
                  <c:strCache>
                    <c:ptCount val="1"/>
                    <c:pt idx="0">
                      <c:v>Medb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{1702CD60-5C13-461D-A9DE-69E08919B19D}</c15:txfldGUID>
                      <c15:f>Graph!$A$117</c15:f>
                      <c15:dlblFieldTableCache>
                        <c:ptCount val="1"/>
                        <c:pt idx="0">
                          <c:v>Medb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4FDA-4A7C-AB44-5095F600D6BB}"/>
                </c:ext>
              </c:extLst>
            </c:dLbl>
            <c:dLbl>
              <c:idx val="116"/>
              <c:tx>
                <c:strRef>
                  <c:f>Graph!$A$118</c:f>
                  <c:strCache>
                    <c:ptCount val="1"/>
                    <c:pt idx="0">
                      <c:v>Saint Martha (Ruler)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{3852B537-A7D5-4A8C-8AA2-DB79C707634C}</c15:txfldGUID>
                      <c15:f>Graph!$A$118</c15:f>
                      <c15:dlblFieldTableCache>
                        <c:ptCount val="1"/>
                        <c:pt idx="0">
                          <c:v>Saint Martha (Ruler)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4FDA-4A7C-AB44-5095F600D6BB}"/>
                </c:ext>
              </c:extLst>
            </c:dLbl>
            <c:dLbl>
              <c:idx val="117"/>
              <c:tx>
                <c:strRef>
                  <c:f>Graph!$A$119</c:f>
                  <c:strCache>
                    <c:ptCount val="1"/>
                    <c:pt idx="0">
                      <c:v>Oda Nobunaga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{C7E98E1C-AAEB-47C4-8350-D668FA964F26}</c15:txfldGUID>
                      <c15:f>Graph!$A$119</c15:f>
                      <c15:dlblFieldTableCache>
                        <c:ptCount val="1"/>
                        <c:pt idx="0">
                          <c:v>Oda Nobunaga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4FDA-4A7C-AB44-5095F600D6BB}"/>
                </c:ext>
              </c:extLst>
            </c:dLbl>
            <c:dLbl>
              <c:idx val="118"/>
              <c:tx>
                <c:strRef>
                  <c:f>Graph!$A$120</c:f>
                  <c:strCache>
                    <c:ptCount val="1"/>
                    <c:pt idx="0">
                      <c:v>Henry Jekyll &amp; Hyde (Jekyll)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{F9CF4534-B055-467F-985C-F2202D287DB1}</c15:txfldGUID>
                      <c15:f>Graph!$A$120</c15:f>
                      <c15:dlblFieldTableCache>
                        <c:ptCount val="1"/>
                        <c:pt idx="0">
                          <c:v>Henry Jekyll &amp; Hyde (Jekyll)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4FDA-4A7C-AB44-5095F600D6BB}"/>
                </c:ext>
              </c:extLst>
            </c:dLbl>
            <c:dLbl>
              <c:idx val="119"/>
              <c:tx>
                <c:strRef>
                  <c:f>Graph!$A$121</c:f>
                  <c:strCache>
                    <c:ptCount val="1"/>
                    <c:pt idx="0">
                      <c:v>Iskandar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{A40C42DF-150B-45C7-B9DA-270E8F040A21}</c15:txfldGUID>
                      <c15:f>Graph!$A$121</c15:f>
                      <c15:dlblFieldTableCache>
                        <c:ptCount val="1"/>
                        <c:pt idx="0">
                          <c:v>Iskandar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4FDA-4A7C-AB44-5095F600D6BB}"/>
                </c:ext>
              </c:extLst>
            </c:dLbl>
            <c:dLbl>
              <c:idx val="120"/>
              <c:tx>
                <c:strRef>
                  <c:f>Graph!$A$122</c:f>
                  <c:strCache>
                    <c:ptCount val="1"/>
                    <c:pt idx="0">
                      <c:v>Artoria Pendragon (Lancer 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{FF89B02F-ADC2-4ADC-BFE0-EB3AA059E8DB}</c15:txfldGUID>
                      <c15:f>Graph!$A$122</c15:f>
                      <c15:dlblFieldTableCache>
                        <c:ptCount val="1"/>
                        <c:pt idx="0">
                          <c:v>Artoria Pendragon (Lancer 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4FDA-4A7C-AB44-5095F600D6BB}"/>
                </c:ext>
              </c:extLst>
            </c:dLbl>
            <c:dLbl>
              <c:idx val="121"/>
              <c:tx>
                <c:strRef>
                  <c:f>Graph!$A$123</c:f>
                  <c:strCache>
                    <c:ptCount val="1"/>
                    <c:pt idx="0">
                      <c:v>Musashibou Benkei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{EC46B892-57BD-41E7-9F3E-39A41DAD3FAF}</c15:txfldGUID>
                      <c15:f>Graph!$A$123</c15:f>
                      <c15:dlblFieldTableCache>
                        <c:ptCount val="1"/>
                        <c:pt idx="0">
                          <c:v>Musashibou Benkei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4FDA-4A7C-AB44-5095F600D6BB}"/>
                </c:ext>
              </c:extLst>
            </c:dLbl>
            <c:dLbl>
              <c:idx val="122"/>
              <c:tx>
                <c:strRef>
                  <c:f>Graph!$A$124</c:f>
                  <c:strCache>
                    <c:ptCount val="1"/>
                    <c:pt idx="0">
                      <c:v>Hector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{7A52B26E-C74F-41F3-9F4A-3A2596683E1F}</c15:txfldGUID>
                      <c15:f>Graph!$A$124</c15:f>
                      <c15:dlblFieldTableCache>
                        <c:ptCount val="1"/>
                        <c:pt idx="0">
                          <c:v>Hector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4FDA-4A7C-AB44-5095F600D6BB}"/>
                </c:ext>
              </c:extLst>
            </c:dLbl>
            <c:dLbl>
              <c:idx val="123"/>
              <c:tx>
                <c:strRef>
                  <c:f>Graph!$A$125</c:f>
                  <c:strCache>
                    <c:ptCount val="1"/>
                    <c:pt idx="0">
                      <c:v>Elizabeth Bathory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{FB737E17-619E-47EE-87E0-36CFA793F04C}</c15:txfldGUID>
                      <c15:f>Graph!$A$125</c15:f>
                      <c15:dlblFieldTableCache>
                        <c:ptCount val="1"/>
                        <c:pt idx="0">
                          <c:v>Elizabeth Bathory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4FDA-4A7C-AB44-5095F600D6BB}"/>
                </c:ext>
              </c:extLst>
            </c:dLbl>
            <c:dLbl>
              <c:idx val="124"/>
              <c:tx>
                <c:strRef>
                  <c:f>Graph!$A$126</c:f>
                  <c:strCache>
                    <c:ptCount val="1"/>
                    <c:pt idx="0">
                      <c:v>Passionlip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{B67FCF30-0D72-4E41-B696-E8916BF5DB08}</c15:txfldGUID>
                      <c15:f>Graph!$A$126</c15:f>
                      <c15:dlblFieldTableCache>
                        <c:ptCount val="1"/>
                        <c:pt idx="0">
                          <c:v>Passionlip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4FDA-4A7C-AB44-5095F600D6BB}"/>
                </c:ext>
              </c:extLst>
            </c:dLbl>
            <c:dLbl>
              <c:idx val="125"/>
              <c:tx>
                <c:strRef>
                  <c:f>Graph!$A$127</c:f>
                  <c:strCache>
                    <c:ptCount val="1"/>
                    <c:pt idx="0">
                      <c:v>Attila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{B1632792-C097-4A69-B96B-EDC1BD5C0A7A}</c15:txfldGUID>
                      <c15:f>Graph!$A$127</c15:f>
                      <c15:dlblFieldTableCache>
                        <c:ptCount val="1"/>
                        <c:pt idx="0">
                          <c:v>Attila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4FDA-4A7C-AB44-5095F600D6BB}"/>
                </c:ext>
              </c:extLst>
            </c:dLbl>
            <c:dLbl>
              <c:idx val="126"/>
              <c:tx>
                <c:strRef>
                  <c:f>Graph!$A$128</c:f>
                  <c:strCache>
                    <c:ptCount val="1"/>
                    <c:pt idx="0">
                      <c:v>Artoria Pendragon (Lily)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{5CE6D5F4-69DB-41E0-AF5F-1BDB2704B600}</c15:txfldGUID>
                      <c15:f>Graph!$A$128</c15:f>
                      <c15:dlblFieldTableCache>
                        <c:ptCount val="1"/>
                        <c:pt idx="0">
                          <c:v>Artoria Pendragon (Lily)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4FDA-4A7C-AB44-5095F600D6BB}"/>
                </c:ext>
              </c:extLst>
            </c:dLbl>
            <c:dLbl>
              <c:idx val="127"/>
              <c:tx>
                <c:strRef>
                  <c:f>Graph!$A$129</c:f>
                  <c:strCache>
                    <c:ptCount val="1"/>
                    <c:pt idx="0">
                      <c:v>Artoria Pendragon (Alter)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{A790E8CC-51E6-4190-AB1B-91B01D29C655}</c15:txfldGUID>
                      <c15:f>Graph!$A$129</c15:f>
                      <c15:dlblFieldTableCache>
                        <c:ptCount val="1"/>
                        <c:pt idx="0">
                          <c:v>Artoria Pendragon (Alter)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4FDA-4A7C-AB44-5095F600D6BB}"/>
                </c:ext>
              </c:extLst>
            </c:dLbl>
            <c:dLbl>
              <c:idx val="128"/>
              <c:tx>
                <c:strRef>
                  <c:f>Graph!$A$130</c:f>
                  <c:strCache>
                    <c:ptCount val="1"/>
                    <c:pt idx="0">
                      <c:v>Cu Chulainn (Prototype)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{5D863BFF-96AB-4966-8A73-E3F466CF4CA8}</c15:txfldGUID>
                      <c15:f>Graph!$A$130</c15:f>
                      <c15:dlblFieldTableCache>
                        <c:ptCount val="1"/>
                        <c:pt idx="0">
                          <c:v>Cu Chulainn (Prototype)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4FDA-4A7C-AB44-5095F600D6BB}"/>
                </c:ext>
              </c:extLst>
            </c:dLbl>
            <c:dLbl>
              <c:idx val="129"/>
              <c:tx>
                <c:strRef>
                  <c:f>Graph!$A$131</c:f>
                  <c:strCache>
                    <c:ptCount val="1"/>
                    <c:pt idx="0">
                      <c:v>Romulus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{79FF5D90-BC20-44AA-B665-58EA8D9607C3}</c15:txfldGUID>
                      <c15:f>Graph!$A$131</c15:f>
                      <c15:dlblFieldTableCache>
                        <c:ptCount val="1"/>
                        <c:pt idx="0">
                          <c:v>Romulus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4FDA-4A7C-AB44-5095F600D6BB}"/>
                </c:ext>
              </c:extLst>
            </c:dLbl>
            <c:dLbl>
              <c:idx val="130"/>
              <c:tx>
                <c:strRef>
                  <c:f>Graph!$A$132</c:f>
                  <c:strCache>
                    <c:ptCount val="1"/>
                    <c:pt idx="0">
                      <c:v>Cu Chulainn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{6B90BDDE-DD05-445D-8B2D-0BE807092979}</c15:txfldGUID>
                      <c15:f>Graph!$A$132</c15:f>
                      <c15:dlblFieldTableCache>
                        <c:ptCount val="1"/>
                        <c:pt idx="0">
                          <c:v>Cu Chulainn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4FDA-4A7C-AB44-5095F600D6BB}"/>
                </c:ext>
              </c:extLst>
            </c:dLbl>
            <c:dLbl>
              <c:idx val="131"/>
              <c:tx>
                <c:strRef>
                  <c:f>Graph!$A$133</c:f>
                  <c:strCache>
                    <c:ptCount val="1"/>
                    <c:pt idx="0">
                      <c:v>Geronimo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{7B7C24FF-D6DC-41AC-AE0E-0FE99EAC4BBD}</c15:txfldGUID>
                      <c15:f>Graph!$A$133</c15:f>
                      <c15:dlblFieldTableCache>
                        <c:ptCount val="1"/>
                        <c:pt idx="0">
                          <c:v>Geronimo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4FDA-4A7C-AB44-5095F600D6BB}"/>
                </c:ext>
              </c:extLst>
            </c:dLbl>
            <c:dLbl>
              <c:idx val="132"/>
              <c:tx>
                <c:strRef>
                  <c:f>Graph!$A$134</c:f>
                  <c:strCache>
                    <c:ptCount val="1"/>
                    <c:pt idx="0">
                      <c:v>Minamoto no Yorimitsu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{1BDC1093-AB32-474C-AAE7-C0E4B04ED023}</c15:txfldGUID>
                      <c15:f>Graph!$A$134</c15:f>
                      <c15:dlblFieldTableCache>
                        <c:ptCount val="1"/>
                        <c:pt idx="0">
                          <c:v>Minamoto no Yorimitsu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4-4FDA-4A7C-AB44-5095F600D6BB}"/>
                </c:ext>
              </c:extLst>
            </c:dLbl>
            <c:dLbl>
              <c:idx val="133"/>
              <c:tx>
                <c:strRef>
                  <c:f>Graph!$A$135</c:f>
                  <c:strCache>
                    <c:ptCount val="1"/>
                    <c:pt idx="0">
                      <c:v>Ibaraki Douji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{C77BA2F0-B8DF-4875-98A6-65FBA925EAB8}</c15:txfldGUID>
                      <c15:f>Graph!$A$135</c15:f>
                      <c15:dlblFieldTableCache>
                        <c:ptCount val="1"/>
                        <c:pt idx="0">
                          <c:v>Ibaraki Douji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5-4FDA-4A7C-AB44-5095F600D6BB}"/>
                </c:ext>
              </c:extLst>
            </c:dLbl>
            <c:dLbl>
              <c:idx val="134"/>
              <c:tx>
                <c:strRef>
                  <c:f>Graph!$A$136</c:f>
                  <c:strCache>
                    <c:ptCount val="1"/>
                    <c:pt idx="0">
                      <c:v>David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{15CFD6F4-F13C-4740-A1ED-9E29F06147E5}</c15:txfldGUID>
                      <c15:f>Graph!$A$136</c15:f>
                      <c15:dlblFieldTableCache>
                        <c:ptCount val="1"/>
                        <c:pt idx="0">
                          <c:v>David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6-4FDA-4A7C-AB44-5095F600D6BB}"/>
                </c:ext>
              </c:extLst>
            </c:dLbl>
            <c:dLbl>
              <c:idx val="135"/>
              <c:tx>
                <c:strRef>
                  <c:f>Graph!$A$137</c:f>
                  <c:strCache>
                    <c:ptCount val="1"/>
                    <c:pt idx="0">
                      <c:v>Charles Babbage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{02B67929-34EF-4DCD-9EAD-7DFE31521ACA}</c15:txfldGUID>
                      <c15:f>Graph!$A$137</c15:f>
                      <c15:dlblFieldTableCache>
                        <c:ptCount val="1"/>
                        <c:pt idx="0">
                          <c:v>Charles Babbage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7-4FDA-4A7C-AB44-5095F600D6BB}"/>
                </c:ext>
              </c:extLst>
            </c:dLbl>
            <c:dLbl>
              <c:idx val="136"/>
              <c:tx>
                <c:strRef>
                  <c:f>Graph!$A$138</c:f>
                  <c:strCache>
                    <c:ptCount val="1"/>
                    <c:pt idx="0">
                      <c:v>Mordred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{633AB765-282F-4FB1-B5F8-E84E6DDAF182}</c15:txfldGUID>
                      <c15:f>Graph!$A$138</c15:f>
                      <c15:dlblFieldTableCache>
                        <c:ptCount val="1"/>
                        <c:pt idx="0">
                          <c:v>Mordred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8-4FDA-4A7C-AB44-5095F600D6BB}"/>
                </c:ext>
              </c:extLst>
            </c:dLbl>
            <c:dLbl>
              <c:idx val="137"/>
              <c:tx>
                <c:strRef>
                  <c:f>Graph!$A$139</c:f>
                  <c:strCache>
                    <c:ptCount val="1"/>
                    <c:pt idx="0">
                      <c:v>Gawain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{D63C7C42-F341-4B53-9BAC-C958FB2D5B82}</c15:txfldGUID>
                      <c15:f>Graph!$A$139</c15:f>
                      <c15:dlblFieldTableCache>
                        <c:ptCount val="1"/>
                        <c:pt idx="0">
                          <c:v>Gawain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9-4FDA-4A7C-AB44-5095F600D6BB}"/>
                </c:ext>
              </c:extLst>
            </c:dLbl>
            <c:dLbl>
              <c:idx val="138"/>
              <c:tx>
                <c:strRef>
                  <c:f>Graph!$A$140</c:f>
                  <c:strCache>
                    <c:ptCount val="1"/>
                    <c:pt idx="0">
                      <c:v>Gilles de Rais (Saber)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{C7E3A4B9-BF9F-4A16-960B-2D74B9E84655}</c15:txfldGUID>
                      <c15:f>Graph!$A$140</c15:f>
                      <c15:dlblFieldTableCache>
                        <c:ptCount val="1"/>
                        <c:pt idx="0">
                          <c:v>Gilles de Rais (Saber)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A-4FDA-4A7C-AB44-5095F600D6BB}"/>
                </c:ext>
              </c:extLst>
            </c:dLbl>
            <c:dLbl>
              <c:idx val="139"/>
              <c:tx>
                <c:strRef>
                  <c:f>Graph!$A$141</c:f>
                  <c:strCache>
                    <c:ptCount val="1"/>
                    <c:pt idx="0">
                      <c:v>Fionn mac Cumhaill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{BE3BCCAF-EC1C-43B8-92D6-227A9D1DFAFD}</c15:txfldGUID>
                      <c15:f>Graph!$A$141</c15:f>
                      <c15:dlblFieldTableCache>
                        <c:ptCount val="1"/>
                        <c:pt idx="0">
                          <c:v>Fionn mac Cumhaill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B-4FDA-4A7C-AB44-5095F600D6BB}"/>
                </c:ext>
              </c:extLst>
            </c:dLbl>
            <c:dLbl>
              <c:idx val="140"/>
              <c:tx>
                <c:strRef>
                  <c:f>Graph!$A$142</c:f>
                  <c:strCache>
                    <c:ptCount val="1"/>
                    <c:pt idx="0">
                      <c:v>Siegfried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{0EE4FA79-BBA2-4DA8-BAC1-AF543B152876}</c15:txfldGUID>
                      <c15:f>Graph!$A$142</c15:f>
                      <c15:dlblFieldTableCache>
                        <c:ptCount val="1"/>
                        <c:pt idx="0">
                          <c:v>Siegfried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C-4FDA-4A7C-AB44-5095F600D6BB}"/>
                </c:ext>
              </c:extLst>
            </c:dLbl>
            <c:dLbl>
              <c:idx val="141"/>
              <c:tx>
                <c:strRef>
                  <c:f>Graph!$A$143</c:f>
                  <c:strCache>
                    <c:ptCount val="1"/>
                    <c:pt idx="0">
                      <c:v>Marie Antoinette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{EC60C6F3-AE62-4B7F-A1F5-F58040F01072}</c15:txfldGUID>
                      <c15:f>Graph!$A$143</c15:f>
                      <c15:dlblFieldTableCache>
                        <c:ptCount val="1"/>
                        <c:pt idx="0">
                          <c:v>Marie Antoinette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D-4FDA-4A7C-AB44-5095F600D6BB}"/>
                </c:ext>
              </c:extLst>
            </c:dLbl>
            <c:dLbl>
              <c:idx val="142"/>
              <c:tx>
                <c:strRef>
                  <c:f>Graph!$A$144</c:f>
                  <c:strCache>
                    <c:ptCount val="1"/>
                    <c:pt idx="0">
                      <c:v>Henry Jekyll &amp; Hyde (Hyde)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{906AC22D-9EA8-49E7-8B7D-D34341B4FCB3}</c15:txfldGUID>
                      <c15:f>Graph!$A$144</c15:f>
                      <c15:dlblFieldTableCache>
                        <c:ptCount val="1"/>
                        <c:pt idx="0">
                          <c:v>Henry Jekyll &amp; Hyde (Hyde)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E-4FDA-4A7C-AB44-5095F600D6BB}"/>
                </c:ext>
              </c:extLst>
            </c:dLbl>
            <c:dLbl>
              <c:idx val="143"/>
              <c:tx>
                <c:strRef>
                  <c:f>Graph!$A$145</c:f>
                  <c:strCache>
                    <c:ptCount val="1"/>
                    <c:pt idx="0">
                      <c:v>Sakata Kintoki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{86A9079B-46DF-4F20-907D-EE00C8C3F592}</c15:txfldGUID>
                      <c15:f>Graph!$A$145</c15:f>
                      <c15:dlblFieldTableCache>
                        <c:ptCount val="1"/>
                        <c:pt idx="0">
                          <c:v>Sakata Kintoki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F-4FDA-4A7C-AB44-5095F600D6BB}"/>
                </c:ext>
              </c:extLst>
            </c:dLbl>
            <c:dLbl>
              <c:idx val="144"/>
              <c:tx>
                <c:strRef>
                  <c:f>Graph!$A$146</c:f>
                  <c:strCache>
                    <c:ptCount val="1"/>
                    <c:pt idx="0">
                      <c:v>Beowulf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{1B994A53-5093-46A9-BD08-DFAC347818B8}</c15:txfldGUID>
                      <c15:f>Graph!$A$146</c15:f>
                      <c15:dlblFieldTableCache>
                        <c:ptCount val="1"/>
                        <c:pt idx="0">
                          <c:v>Beowulf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0-4FDA-4A7C-AB44-5095F600D6BB}"/>
                </c:ext>
              </c:extLst>
            </c:dLbl>
            <c:dLbl>
              <c:idx val="145"/>
              <c:tx>
                <c:strRef>
                  <c:f>Graph!$A$147</c:f>
                  <c:strCache>
                    <c:ptCount val="1"/>
                    <c:pt idx="0">
                      <c:v>Kiyohime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{54B34449-CDF6-4BAD-9AD5-B5B28C00B73E}</c15:txfldGUID>
                      <c15:f>Graph!$A$147</c15:f>
                      <c15:dlblFieldTableCache>
                        <c:ptCount val="1"/>
                        <c:pt idx="0">
                          <c:v>Kiyohime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1-4FDA-4A7C-AB44-5095F600D6BB}"/>
                </c:ext>
              </c:extLst>
            </c:dLbl>
            <c:dLbl>
              <c:idx val="146"/>
              <c:tx>
                <c:strRef>
                  <c:f>Graph!$A$148</c:f>
                  <c:strCache>
                    <c:ptCount val="1"/>
                    <c:pt idx="0">
                      <c:v>Artoria Pendragon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{354C8167-E1AB-4BA8-A99D-23A840057D5E}</c15:txfldGUID>
                      <c15:f>Graph!$A$148</c15:f>
                      <c15:dlblFieldTableCache>
                        <c:ptCount val="1"/>
                        <c:pt idx="0">
                          <c:v>Artoria Pendragon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2-4FDA-4A7C-AB44-5095F600D6BB}"/>
                </c:ext>
              </c:extLst>
            </c:dLbl>
            <c:dLbl>
              <c:idx val="147"/>
              <c:tx>
                <c:strRef>
                  <c:f>Graph!$A$149</c:f>
                  <c:strCache>
                    <c:ptCount val="1"/>
                    <c:pt idx="0">
                      <c:v>Rama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{E076714E-DD8E-4EA7-91D0-F77DF06627B9}</c15:txfldGUID>
                      <c15:f>Graph!$A$149</c15:f>
                      <c15:dlblFieldTableCache>
                        <c:ptCount val="1"/>
                        <c:pt idx="0">
                          <c:v>Rama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3-4FDA-4A7C-AB44-5095F600D6BB}"/>
                </c:ext>
              </c:extLst>
            </c:dLbl>
            <c:dLbl>
              <c:idx val="148"/>
              <c:tx>
                <c:strRef>
                  <c:f>Graph!$A$150</c:f>
                  <c:strCache>
                    <c:ptCount val="1"/>
                    <c:pt idx="0">
                      <c:v>Nero Claudius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{A7A9E32F-A3A8-4986-AAA3-382A7F4798DA}</c15:txfldGUID>
                      <c15:f>Graph!$A$150</c15:f>
                      <c15:dlblFieldTableCache>
                        <c:ptCount val="1"/>
                        <c:pt idx="0">
                          <c:v>Nero Claudius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4-4FDA-4A7C-AB44-5095F600D6BB}"/>
                </c:ext>
              </c:extLst>
            </c:dLbl>
            <c:dLbl>
              <c:idx val="149"/>
              <c:tx>
                <c:strRef>
                  <c:f>Graph!$A$151</c:f>
                  <c:strCache>
                    <c:ptCount val="1"/>
                    <c:pt idx="0">
                      <c:v>Le Chevalier d'Eon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{334587F1-2346-42EE-98EF-CC3EFD5D9B15}</c15:txfldGUID>
                      <c15:f>Graph!$A$151</c15:f>
                      <c15:dlblFieldTableCache>
                        <c:ptCount val="1"/>
                        <c:pt idx="0">
                          <c:v>Le Chevalier d'Eon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5-4FDA-4A7C-AB44-5095F600D6BB}"/>
                </c:ext>
              </c:extLst>
            </c:dLbl>
            <c:dLbl>
              <c:idx val="150"/>
              <c:tx>
                <c:strRef>
                  <c:f>Graph!$A$152</c:f>
                  <c:strCache>
                    <c:ptCount val="1"/>
                    <c:pt idx="0">
                      <c:v>Tawara Touda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{481EABA7-272A-48DE-A70A-2A3147E1B757}</c15:txfldGUID>
                      <c15:f>Graph!$A$152</c15:f>
                      <c15:dlblFieldTableCache>
                        <c:ptCount val="1"/>
                        <c:pt idx="0">
                          <c:v>Tawara Touda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6-4FDA-4A7C-AB44-5095F600D6BB}"/>
                </c:ext>
              </c:extLst>
            </c:dLbl>
            <c:dLbl>
              <c:idx val="151"/>
              <c:tx>
                <c:strRef>
                  <c:f>Graph!$A$153</c:f>
                  <c:strCache>
                    <c:ptCount val="1"/>
                    <c:pt idx="0">
                      <c:v>Edward Teach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{C0FF1C7C-2857-470F-A802-996AF215BB6E}</c15:txfldGUID>
                      <c15:f>Graph!$A$153</c15:f>
                      <c15:dlblFieldTableCache>
                        <c:ptCount val="1"/>
                        <c:pt idx="0">
                          <c:v>Edward Teach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7-4FDA-4A7C-AB44-5095F600D6BB}"/>
                </c:ext>
              </c:extLst>
            </c:dLbl>
            <c:dLbl>
              <c:idx val="152"/>
              <c:tx>
                <c:strRef>
                  <c:f>Graph!$A$154</c:f>
                  <c:strCache>
                    <c:ptCount val="1"/>
                    <c:pt idx="0">
                      <c:v>Spartacus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{12F0E2EE-DFA4-4CD8-A019-09DC2395FE7E}</c15:txfldGUID>
                      <c15:f>Graph!$A$154</c15:f>
                      <c15:dlblFieldTableCache>
                        <c:ptCount val="1"/>
                        <c:pt idx="0">
                          <c:v>Spartacus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8-4FDA-4A7C-AB44-5095F600D6BB}"/>
                </c:ext>
              </c:extLst>
            </c:dLbl>
            <c:dLbl>
              <c:idx val="153"/>
              <c:tx>
                <c:strRef>
                  <c:f>Graph!$A$155</c:f>
                  <c:strCache>
                    <c:ptCount val="1"/>
                    <c:pt idx="0">
                      <c:v>Tamamo Cat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{E930F63A-D94C-494A-8C14-17187C2EA2D7}</c15:txfldGUID>
                      <c15:f>Graph!$A$155</c15:f>
                      <c15:dlblFieldTableCache>
                        <c:ptCount val="1"/>
                        <c:pt idx="0">
                          <c:v>Tamamo Cat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9-4FDA-4A7C-AB44-5095F600D6BB}"/>
                </c:ext>
              </c:extLst>
            </c:dLbl>
            <c:dLbl>
              <c:idx val="154"/>
              <c:tx>
                <c:strRef>
                  <c:f>Graph!$A$156</c:f>
                  <c:strCache>
                    <c:ptCount val="1"/>
                    <c:pt idx="0">
                      <c:v>Fergus Mac Roich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{C6415A17-F1CA-4544-B6EA-795A9D7ABB6B}</c15:txfldGUID>
                      <c15:f>Graph!$A$156</c15:f>
                      <c15:dlblFieldTableCache>
                        <c:ptCount val="1"/>
                        <c:pt idx="0">
                          <c:v>Fergus Mac Roich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A-4FDA-4A7C-AB44-5095F600D6BB}"/>
                </c:ext>
              </c:extLst>
            </c:dLbl>
            <c:dLbl>
              <c:idx val="155"/>
              <c:tx>
                <c:strRef>
                  <c:f>Graph!$A$157</c:f>
                  <c:strCache>
                    <c:ptCount val="1"/>
                    <c:pt idx="0">
                      <c:v>Heracles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{766D33A3-B4BD-488D-B49F-C8FB16D1BCE0}</c15:txfldGUID>
                      <c15:f>Graph!$A$157</c15:f>
                      <c15:dlblFieldTableCache>
                        <c:ptCount val="1"/>
                        <c:pt idx="0">
                          <c:v>Heracles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B-4FDA-4A7C-AB44-5095F600D6BB}"/>
                </c:ext>
              </c:extLst>
            </c:dLbl>
            <c:dLbl>
              <c:idx val="156"/>
              <c:tx>
                <c:strRef>
                  <c:f>Graph!$A$158</c:f>
                  <c:strCache>
                    <c:ptCount val="1"/>
                    <c:pt idx="0">
                      <c:v>Lu Bu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{E2A857A8-0798-4A68-B3B5-F178940BF63B}</c15:txfldGUID>
                      <c15:f>Graph!$A$158</c15:f>
                      <c15:dlblFieldTableCache>
                        <c:ptCount val="1"/>
                        <c:pt idx="0">
                          <c:v>Lu Bu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C-4FDA-4A7C-AB44-5095F600D6BB}"/>
                </c:ext>
              </c:extLst>
            </c:dLbl>
            <c:dLbl>
              <c:idx val="157"/>
              <c:tx>
                <c:strRef>
                  <c:f>Graph!$A$159</c:f>
                  <c:strCache>
                    <c:ptCount val="1"/>
                    <c:pt idx="0">
                      <c:v>Vlad III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{DF5D042C-8747-44F7-A132-DCD08E98B9A0}</c15:txfldGUID>
                      <c15:f>Graph!$A$159</c15:f>
                      <c15:dlblFieldTableCache>
                        <c:ptCount val="1"/>
                        <c:pt idx="0">
                          <c:v>Vlad III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D-4FDA-4A7C-AB44-5095F600D6BB}"/>
                </c:ext>
              </c:extLst>
            </c:dLbl>
            <c:dLbl>
              <c:idx val="158"/>
              <c:tx>
                <c:strRef>
                  <c:f>Graph!$A$160</c:f>
                  <c:strCache>
                    <c:ptCount val="1"/>
                    <c:pt idx="0">
                      <c:v>Darius III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{917975A6-C7B7-489B-90CD-E50EDAB3635D}</c15:txfldGUID>
                      <c15:f>Graph!$A$160</c15:f>
                      <c15:dlblFieldTableCache>
                        <c:ptCount val="1"/>
                        <c:pt idx="0">
                          <c:v>Darius III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E-4FDA-4A7C-AB44-5095F600D6BB}"/>
                </c:ext>
              </c:extLst>
            </c:dLbl>
            <c:dLbl>
              <c:idx val="159"/>
              <c:tx>
                <c:strRef>
                  <c:f>Graph!$A$161</c:f>
                  <c:strCache>
                    <c:ptCount val="1"/>
                    <c:pt idx="0">
                      <c:v>Eric Bloodaxe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{39E41C38-4BE2-4292-BFA1-95A282CA29A1}</c15:txfldGUID>
                      <c15:f>Graph!$A$161</c15:f>
                      <c15:dlblFieldTableCache>
                        <c:ptCount val="1"/>
                        <c:pt idx="0">
                          <c:v>Eric Bloodaxe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9F-4FDA-4A7C-AB44-5095F600D6BB}"/>
                </c:ext>
              </c:extLst>
            </c:dLbl>
            <c:dLbl>
              <c:idx val="160"/>
              <c:tx>
                <c:strRef>
                  <c:f>Graph!$A$162</c:f>
                  <c:strCache>
                    <c:ptCount val="1"/>
                    <c:pt idx="0">
                      <c:v>Frankenstein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{5FFFFAEF-1350-432F-AB71-BE56FB3F85EC}</c15:txfldGUID>
                      <c15:f>Graph!$A$162</c15:f>
                      <c15:dlblFieldTableCache>
                        <c:ptCount val="1"/>
                        <c:pt idx="0">
                          <c:v>Frankenstein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0-4FDA-4A7C-AB44-5095F600D6BB}"/>
                </c:ext>
              </c:extLst>
            </c:dLbl>
            <c:dLbl>
              <c:idx val="161"/>
              <c:tx>
                <c:strRef>
                  <c:f>Graph!$A$163</c:f>
                  <c:strCache>
                    <c:ptCount val="1"/>
                    <c:pt idx="0">
                      <c:v>Caligula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{65A0556C-CB18-4225-99A4-F3F8F7C7E274}</c15:txfldGUID>
                      <c15:f>Graph!$A$163</c15:f>
                      <c15:dlblFieldTableCache>
                        <c:ptCount val="1"/>
                        <c:pt idx="0">
                          <c:v>Caligula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1-4FDA-4A7C-AB44-5095F600D6BB}"/>
                </c:ext>
              </c:extLst>
            </c:dLbl>
            <c:dLbl>
              <c:idx val="162"/>
              <c:tx>
                <c:strRef>
                  <c:f>Graph!$A$164</c:f>
                  <c:strCache>
                    <c:ptCount val="1"/>
                    <c:pt idx="0">
                      <c:v>Asterios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{75C41477-52A8-4F78-A042-684CE2F74EFC}</c15:txfldGUID>
                      <c15:f>Graph!$A$164</c15:f>
                      <c15:dlblFieldTableCache>
                        <c:ptCount val="1"/>
                        <c:pt idx="0">
                          <c:v>Asterios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2-4FDA-4A7C-AB44-5095F600D6BB}"/>
                </c:ext>
              </c:extLst>
            </c:dLbl>
            <c:dLbl>
              <c:idx val="163"/>
              <c:tx>
                <c:strRef>
                  <c:f>Graph!$A$165</c:f>
                  <c:strCache>
                    <c:ptCount val="1"/>
                    <c:pt idx="0">
                      <c:v>Lancelot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{C9F53CEF-8503-49E1-A138-128A5E1730BF}</c15:txfldGUID>
                      <c15:f>Graph!$A$165</c15:f>
                      <c15:dlblFieldTableCache>
                        <c:ptCount val="1"/>
                        <c:pt idx="0">
                          <c:v>Lancelot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A3-4FDA-4A7C-AB44-5095F600D6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Graph!$B$2:$B$165</c:f>
              <c:numCache>
                <c:formatCode>General</c:formatCode>
                <c:ptCount val="164"/>
                <c:pt idx="0">
                  <c:v>56.041250000000005</c:v>
                </c:pt>
                <c:pt idx="1">
                  <c:v>48.671999999999997</c:v>
                </c:pt>
                <c:pt idx="2">
                  <c:v>41.549133333333337</c:v>
                </c:pt>
                <c:pt idx="3">
                  <c:v>48.767333333333333</c:v>
                </c:pt>
                <c:pt idx="4">
                  <c:v>50.725000000000001</c:v>
                </c:pt>
                <c:pt idx="5">
                  <c:v>36.915000000000006</c:v>
                </c:pt>
                <c:pt idx="6">
                  <c:v>28.620000000000005</c:v>
                </c:pt>
                <c:pt idx="7">
                  <c:v>43.382000000000005</c:v>
                </c:pt>
                <c:pt idx="8">
                  <c:v>43.076250000000002</c:v>
                </c:pt>
                <c:pt idx="9">
                  <c:v>35.996400000000008</c:v>
                </c:pt>
                <c:pt idx="10">
                  <c:v>53.089999999999996</c:v>
                </c:pt>
                <c:pt idx="11">
                  <c:v>54.756571428571434</c:v>
                </c:pt>
                <c:pt idx="12">
                  <c:v>36.4238</c:v>
                </c:pt>
                <c:pt idx="13">
                  <c:v>29.550199999999997</c:v>
                </c:pt>
                <c:pt idx="14">
                  <c:v>32.078250000000004</c:v>
                </c:pt>
                <c:pt idx="15">
                  <c:v>35.320000000000007</c:v>
                </c:pt>
                <c:pt idx="16">
                  <c:v>40.840000000000003</c:v>
                </c:pt>
                <c:pt idx="17">
                  <c:v>41.973333333333336</c:v>
                </c:pt>
                <c:pt idx="18">
                  <c:v>53.079857142857136</c:v>
                </c:pt>
                <c:pt idx="19">
                  <c:v>39.505000000000003</c:v>
                </c:pt>
                <c:pt idx="20">
                  <c:v>35.200000000000003</c:v>
                </c:pt>
                <c:pt idx="21">
                  <c:v>62.98207142857143</c:v>
                </c:pt>
                <c:pt idx="22">
                  <c:v>39.416273333333336</c:v>
                </c:pt>
                <c:pt idx="23">
                  <c:v>22.742400000000004</c:v>
                </c:pt>
                <c:pt idx="24">
                  <c:v>45.15</c:v>
                </c:pt>
                <c:pt idx="25">
                  <c:v>52.981743428571427</c:v>
                </c:pt>
                <c:pt idx="26">
                  <c:v>48.190333333333335</c:v>
                </c:pt>
                <c:pt idx="27">
                  <c:v>30.618749999999999</c:v>
                </c:pt>
                <c:pt idx="28">
                  <c:v>50.746399999999994</c:v>
                </c:pt>
                <c:pt idx="29">
                  <c:v>28.35</c:v>
                </c:pt>
                <c:pt idx="30">
                  <c:v>36.063928571428576</c:v>
                </c:pt>
                <c:pt idx="31">
                  <c:v>37.022500000000001</c:v>
                </c:pt>
                <c:pt idx="32">
                  <c:v>27.560000000000006</c:v>
                </c:pt>
                <c:pt idx="33">
                  <c:v>36.380000000000003</c:v>
                </c:pt>
                <c:pt idx="34">
                  <c:v>31.243200000000002</c:v>
                </c:pt>
                <c:pt idx="35">
                  <c:v>36.8125</c:v>
                </c:pt>
                <c:pt idx="36">
                  <c:v>29.195</c:v>
                </c:pt>
                <c:pt idx="37">
                  <c:v>47.427557142857154</c:v>
                </c:pt>
                <c:pt idx="38">
                  <c:v>34.587000000000003</c:v>
                </c:pt>
                <c:pt idx="39">
                  <c:v>29.700000000000003</c:v>
                </c:pt>
                <c:pt idx="40">
                  <c:v>36.426200000000001</c:v>
                </c:pt>
                <c:pt idx="41">
                  <c:v>39.628799999999998</c:v>
                </c:pt>
                <c:pt idx="42">
                  <c:v>36.583499999999994</c:v>
                </c:pt>
                <c:pt idx="43">
                  <c:v>30.478400000000001</c:v>
                </c:pt>
                <c:pt idx="44">
                  <c:v>40.123333333333335</c:v>
                </c:pt>
                <c:pt idx="45">
                  <c:v>28.917000000000002</c:v>
                </c:pt>
                <c:pt idx="46">
                  <c:v>41.615999999999993</c:v>
                </c:pt>
                <c:pt idx="47">
                  <c:v>37.728000000000002</c:v>
                </c:pt>
                <c:pt idx="48">
                  <c:v>23.784999999999997</c:v>
                </c:pt>
                <c:pt idx="49">
                  <c:v>30.450000000000003</c:v>
                </c:pt>
                <c:pt idx="50">
                  <c:v>34.650000000000006</c:v>
                </c:pt>
                <c:pt idx="51">
                  <c:v>22.467910400000001</c:v>
                </c:pt>
                <c:pt idx="52">
                  <c:v>37.089999999999996</c:v>
                </c:pt>
                <c:pt idx="53">
                  <c:v>33.885614285714283</c:v>
                </c:pt>
                <c:pt idx="54">
                  <c:v>31.28</c:v>
                </c:pt>
                <c:pt idx="55">
                  <c:v>28.934666666666669</c:v>
                </c:pt>
                <c:pt idx="56">
                  <c:v>31.825000000000006</c:v>
                </c:pt>
                <c:pt idx="57">
                  <c:v>41.610833333333339</c:v>
                </c:pt>
                <c:pt idx="58">
                  <c:v>32.400000000000006</c:v>
                </c:pt>
                <c:pt idx="59">
                  <c:v>32</c:v>
                </c:pt>
                <c:pt idx="60">
                  <c:v>48.447333333333333</c:v>
                </c:pt>
                <c:pt idx="61">
                  <c:v>35.043533333333336</c:v>
                </c:pt>
                <c:pt idx="62">
                  <c:v>36.896000000000001</c:v>
                </c:pt>
                <c:pt idx="63">
                  <c:v>34.31</c:v>
                </c:pt>
                <c:pt idx="64">
                  <c:v>40.173666666666662</c:v>
                </c:pt>
                <c:pt idx="65">
                  <c:v>39.229142857142854</c:v>
                </c:pt>
                <c:pt idx="66">
                  <c:v>37.436</c:v>
                </c:pt>
                <c:pt idx="67">
                  <c:v>28.12</c:v>
                </c:pt>
                <c:pt idx="68">
                  <c:v>35.345600000000005</c:v>
                </c:pt>
                <c:pt idx="69">
                  <c:v>30.923000000000009</c:v>
                </c:pt>
                <c:pt idx="70">
                  <c:v>34.888533333333335</c:v>
                </c:pt>
                <c:pt idx="71">
                  <c:v>33.120900000000006</c:v>
                </c:pt>
                <c:pt idx="72">
                  <c:v>32.375500000000002</c:v>
                </c:pt>
                <c:pt idx="73">
                  <c:v>27.69</c:v>
                </c:pt>
                <c:pt idx="74">
                  <c:v>30.079800000000006</c:v>
                </c:pt>
                <c:pt idx="75">
                  <c:v>31.435699999999997</c:v>
                </c:pt>
                <c:pt idx="76">
                  <c:v>31.845083333333331</c:v>
                </c:pt>
                <c:pt idx="77">
                  <c:v>28.62</c:v>
                </c:pt>
                <c:pt idx="78">
                  <c:v>35.125</c:v>
                </c:pt>
                <c:pt idx="79">
                  <c:v>43.728000000000002</c:v>
                </c:pt>
                <c:pt idx="80">
                  <c:v>30.03</c:v>
                </c:pt>
                <c:pt idx="81">
                  <c:v>33.533333333333331</c:v>
                </c:pt>
                <c:pt idx="82">
                  <c:v>25.828000000000003</c:v>
                </c:pt>
                <c:pt idx="83">
                  <c:v>31.858704000000003</c:v>
                </c:pt>
                <c:pt idx="84">
                  <c:v>26.400000000000002</c:v>
                </c:pt>
                <c:pt idx="85">
                  <c:v>40.396233333333342</c:v>
                </c:pt>
                <c:pt idx="86">
                  <c:v>33.712499999999999</c:v>
                </c:pt>
                <c:pt idx="87">
                  <c:v>30.7624</c:v>
                </c:pt>
                <c:pt idx="88">
                  <c:v>26.650000000000002</c:v>
                </c:pt>
                <c:pt idx="89">
                  <c:v>32.16455333333333</c:v>
                </c:pt>
                <c:pt idx="90">
                  <c:v>29.83</c:v>
                </c:pt>
                <c:pt idx="91">
                  <c:v>26.86</c:v>
                </c:pt>
                <c:pt idx="92">
                  <c:v>29.64</c:v>
                </c:pt>
                <c:pt idx="93">
                  <c:v>32.634999999999998</c:v>
                </c:pt>
                <c:pt idx="94">
                  <c:v>30.979199999999999</c:v>
                </c:pt>
                <c:pt idx="95">
                  <c:v>29.145</c:v>
                </c:pt>
                <c:pt idx="96">
                  <c:v>31.46</c:v>
                </c:pt>
                <c:pt idx="97">
                  <c:v>18.473400000000002</c:v>
                </c:pt>
                <c:pt idx="98">
                  <c:v>27.720000000000002</c:v>
                </c:pt>
                <c:pt idx="99">
                  <c:v>31.196000000000002</c:v>
                </c:pt>
                <c:pt idx="100">
                  <c:v>27</c:v>
                </c:pt>
                <c:pt idx="101">
                  <c:v>29.566799999999997</c:v>
                </c:pt>
                <c:pt idx="102">
                  <c:v>29.599919999999997</c:v>
                </c:pt>
                <c:pt idx="103">
                  <c:v>30.396000000000004</c:v>
                </c:pt>
                <c:pt idx="104">
                  <c:v>31.961607142857147</c:v>
                </c:pt>
                <c:pt idx="105">
                  <c:v>26.099999999999998</c:v>
                </c:pt>
                <c:pt idx="106">
                  <c:v>37.256399999999999</c:v>
                </c:pt>
                <c:pt idx="107">
                  <c:v>22.9375</c:v>
                </c:pt>
                <c:pt idx="108">
                  <c:v>36.095100000000002</c:v>
                </c:pt>
                <c:pt idx="109">
                  <c:v>24.494999999999997</c:v>
                </c:pt>
                <c:pt idx="110">
                  <c:v>27.227750000000007</c:v>
                </c:pt>
                <c:pt idx="111">
                  <c:v>34.207857142857144</c:v>
                </c:pt>
                <c:pt idx="112">
                  <c:v>25.491</c:v>
                </c:pt>
                <c:pt idx="113">
                  <c:v>26.774999999999999</c:v>
                </c:pt>
                <c:pt idx="114">
                  <c:v>28.457999999999998</c:v>
                </c:pt>
                <c:pt idx="115">
                  <c:v>30.560000000000002</c:v>
                </c:pt>
                <c:pt idx="116">
                  <c:v>27.42</c:v>
                </c:pt>
                <c:pt idx="117">
                  <c:v>27.025499999999997</c:v>
                </c:pt>
                <c:pt idx="118">
                  <c:v>24.150000000000002</c:v>
                </c:pt>
                <c:pt idx="119">
                  <c:v>27.515699999999995</c:v>
                </c:pt>
                <c:pt idx="120">
                  <c:v>21.534000000000002</c:v>
                </c:pt>
                <c:pt idx="121">
                  <c:v>26.07</c:v>
                </c:pt>
                <c:pt idx="122">
                  <c:v>25.3584</c:v>
                </c:pt>
                <c:pt idx="123">
                  <c:v>26.092000000000002</c:v>
                </c:pt>
                <c:pt idx="124">
                  <c:v>22.715</c:v>
                </c:pt>
                <c:pt idx="125">
                  <c:v>24.612000000000002</c:v>
                </c:pt>
                <c:pt idx="126">
                  <c:v>25.094799999999996</c:v>
                </c:pt>
                <c:pt idx="127">
                  <c:v>24.939999999999998</c:v>
                </c:pt>
                <c:pt idx="128">
                  <c:v>24.84</c:v>
                </c:pt>
                <c:pt idx="129">
                  <c:v>24.610000000000003</c:v>
                </c:pt>
                <c:pt idx="130">
                  <c:v>24.610000000000003</c:v>
                </c:pt>
                <c:pt idx="131">
                  <c:v>29.285999999999998</c:v>
                </c:pt>
                <c:pt idx="132">
                  <c:v>24.837700000000005</c:v>
                </c:pt>
                <c:pt idx="133">
                  <c:v>24.720000000000002</c:v>
                </c:pt>
                <c:pt idx="134">
                  <c:v>29.64</c:v>
                </c:pt>
                <c:pt idx="135">
                  <c:v>29.256499999999999</c:v>
                </c:pt>
                <c:pt idx="136">
                  <c:v>27.534400000000002</c:v>
                </c:pt>
                <c:pt idx="137">
                  <c:v>25.266933333333331</c:v>
                </c:pt>
                <c:pt idx="138">
                  <c:v>27.895580000000002</c:v>
                </c:pt>
                <c:pt idx="139">
                  <c:v>18.942000000000004</c:v>
                </c:pt>
                <c:pt idx="140">
                  <c:v>27.574674999999996</c:v>
                </c:pt>
                <c:pt idx="141">
                  <c:v>22.66</c:v>
                </c:pt>
                <c:pt idx="142">
                  <c:v>23.46</c:v>
                </c:pt>
                <c:pt idx="143">
                  <c:v>27.903333333333336</c:v>
                </c:pt>
                <c:pt idx="144">
                  <c:v>18.36</c:v>
                </c:pt>
                <c:pt idx="145">
                  <c:v>27.404999999999998</c:v>
                </c:pt>
                <c:pt idx="146">
                  <c:v>25.146399999999996</c:v>
                </c:pt>
                <c:pt idx="147">
                  <c:v>24.6372</c:v>
                </c:pt>
                <c:pt idx="148">
                  <c:v>24.561599999999999</c:v>
                </c:pt>
                <c:pt idx="149">
                  <c:v>24.269199999999998</c:v>
                </c:pt>
                <c:pt idx="150">
                  <c:v>22.799999999999997</c:v>
                </c:pt>
                <c:pt idx="151">
                  <c:v>22.400000000000002</c:v>
                </c:pt>
                <c:pt idx="152">
                  <c:v>23.475714285714286</c:v>
                </c:pt>
                <c:pt idx="153">
                  <c:v>19.524999999999999</c:v>
                </c:pt>
                <c:pt idx="154">
                  <c:v>20.971599999999999</c:v>
                </c:pt>
                <c:pt idx="155">
                  <c:v>20.330000000000002</c:v>
                </c:pt>
                <c:pt idx="156">
                  <c:v>19.760000000000002</c:v>
                </c:pt>
                <c:pt idx="157">
                  <c:v>19.5</c:v>
                </c:pt>
                <c:pt idx="158">
                  <c:v>18.902375000000003</c:v>
                </c:pt>
                <c:pt idx="159">
                  <c:v>19.38</c:v>
                </c:pt>
                <c:pt idx="160">
                  <c:v>18.459199999999999</c:v>
                </c:pt>
                <c:pt idx="161">
                  <c:v>16.66</c:v>
                </c:pt>
                <c:pt idx="162">
                  <c:v>16.66</c:v>
                </c:pt>
                <c:pt idx="163">
                  <c:v>10.7</c:v>
                </c:pt>
              </c:numCache>
            </c:numRef>
          </c:xVal>
          <c:yVal>
            <c:numRef>
              <c:f>Graph!$C$2:$C$165</c:f>
              <c:numCache>
                <c:formatCode>General</c:formatCode>
                <c:ptCount val="164"/>
                <c:pt idx="0">
                  <c:v>32.064999999999998</c:v>
                </c:pt>
                <c:pt idx="1">
                  <c:v>23.193333333333332</c:v>
                </c:pt>
                <c:pt idx="2">
                  <c:v>24.267000000000003</c:v>
                </c:pt>
                <c:pt idx="3">
                  <c:v>19.652000000000001</c:v>
                </c:pt>
                <c:pt idx="4">
                  <c:v>16.885999999999999</c:v>
                </c:pt>
                <c:pt idx="5">
                  <c:v>23.693999999999999</c:v>
                </c:pt>
                <c:pt idx="6">
                  <c:v>26.70366666666667</c:v>
                </c:pt>
                <c:pt idx="7">
                  <c:v>19.088000000000001</c:v>
                </c:pt>
                <c:pt idx="8">
                  <c:v>18.825333333333333</c:v>
                </c:pt>
                <c:pt idx="9">
                  <c:v>21.826000000000001</c:v>
                </c:pt>
                <c:pt idx="10">
                  <c:v>12.389999999999999</c:v>
                </c:pt>
                <c:pt idx="11">
                  <c:v>11.483000000000001</c:v>
                </c:pt>
                <c:pt idx="12">
                  <c:v>20.745333333333335</c:v>
                </c:pt>
                <c:pt idx="13">
                  <c:v>24.153333333333332</c:v>
                </c:pt>
                <c:pt idx="14">
                  <c:v>22.305000000000003</c:v>
                </c:pt>
                <c:pt idx="15">
                  <c:v>20.464142857142857</c:v>
                </c:pt>
                <c:pt idx="16">
                  <c:v>17.257999999999999</c:v>
                </c:pt>
                <c:pt idx="17">
                  <c:v>16.489000000000001</c:v>
                </c:pt>
                <c:pt idx="18">
                  <c:v>10.578000000000001</c:v>
                </c:pt>
                <c:pt idx="19">
                  <c:v>17.197500000000002</c:v>
                </c:pt>
                <c:pt idx="20">
                  <c:v>19.124000000000002</c:v>
                </c:pt>
                <c:pt idx="21">
                  <c:v>4.6039999999999992</c:v>
                </c:pt>
                <c:pt idx="22">
                  <c:v>15.910666666666668</c:v>
                </c:pt>
                <c:pt idx="23">
                  <c:v>24.398000000000003</c:v>
                </c:pt>
                <c:pt idx="24">
                  <c:v>12.957999999999998</c:v>
                </c:pt>
                <c:pt idx="25">
                  <c:v>8.9500000000000011</c:v>
                </c:pt>
                <c:pt idx="26">
                  <c:v>11.328666666666667</c:v>
                </c:pt>
                <c:pt idx="27">
                  <c:v>20.265000000000001</c:v>
                </c:pt>
                <c:pt idx="28">
                  <c:v>9.9980000000000011</c:v>
                </c:pt>
                <c:pt idx="29">
                  <c:v>20.997</c:v>
                </c:pt>
                <c:pt idx="30">
                  <c:v>16.668428571428571</c:v>
                </c:pt>
                <c:pt idx="31">
                  <c:v>15.61</c:v>
                </c:pt>
                <c:pt idx="32">
                  <c:v>20.376000000000001</c:v>
                </c:pt>
                <c:pt idx="33">
                  <c:v>15.872</c:v>
                </c:pt>
                <c:pt idx="34">
                  <c:v>18.155999999999999</c:v>
                </c:pt>
                <c:pt idx="35">
                  <c:v>14.975000000000003</c:v>
                </c:pt>
                <c:pt idx="36">
                  <c:v>18.777333333333335</c:v>
                </c:pt>
                <c:pt idx="37">
                  <c:v>9.4280714285714282</c:v>
                </c:pt>
                <c:pt idx="38">
                  <c:v>15.754999999999999</c:v>
                </c:pt>
                <c:pt idx="39">
                  <c:v>18.2</c:v>
                </c:pt>
                <c:pt idx="40">
                  <c:v>14.690000000000001</c:v>
                </c:pt>
                <c:pt idx="41">
                  <c:v>12.943333333333335</c:v>
                </c:pt>
                <c:pt idx="42">
                  <c:v>14.363333333333335</c:v>
                </c:pt>
                <c:pt idx="43">
                  <c:v>17.239999999999998</c:v>
                </c:pt>
                <c:pt idx="44">
                  <c:v>12.13</c:v>
                </c:pt>
                <c:pt idx="45">
                  <c:v>17.826000000000001</c:v>
                </c:pt>
                <c:pt idx="46">
                  <c:v>11.019</c:v>
                </c:pt>
                <c:pt idx="47">
                  <c:v>12.954357142857145</c:v>
                </c:pt>
                <c:pt idx="48">
                  <c:v>19.572000000000003</c:v>
                </c:pt>
                <c:pt idx="49">
                  <c:v>16.012</c:v>
                </c:pt>
                <c:pt idx="50">
                  <c:v>13.3</c:v>
                </c:pt>
                <c:pt idx="51">
                  <c:v>19.429800000000004</c:v>
                </c:pt>
                <c:pt idx="52">
                  <c:v>11.400000000000002</c:v>
                </c:pt>
                <c:pt idx="53">
                  <c:v>12.887714285714287</c:v>
                </c:pt>
                <c:pt idx="54">
                  <c:v>14.206714285714284</c:v>
                </c:pt>
                <c:pt idx="55">
                  <c:v>15.190000000000001</c:v>
                </c:pt>
                <c:pt idx="56">
                  <c:v>13.516999999999999</c:v>
                </c:pt>
                <c:pt idx="57">
                  <c:v>8.3776666666666664</c:v>
                </c:pt>
                <c:pt idx="58">
                  <c:v>12.93</c:v>
                </c:pt>
                <c:pt idx="59">
                  <c:v>13.092500000000001</c:v>
                </c:pt>
                <c:pt idx="60">
                  <c:v>4.5980000000000008</c:v>
                </c:pt>
                <c:pt idx="61">
                  <c:v>11.214</c:v>
                </c:pt>
                <c:pt idx="62">
                  <c:v>9.9400000000000013</c:v>
                </c:pt>
                <c:pt idx="63">
                  <c:v>11.219999999999999</c:v>
                </c:pt>
                <c:pt idx="64">
                  <c:v>8.0540000000000003</c:v>
                </c:pt>
                <c:pt idx="65">
                  <c:v>8.4480000000000004</c:v>
                </c:pt>
                <c:pt idx="66">
                  <c:v>9.1537142857142868</c:v>
                </c:pt>
                <c:pt idx="67">
                  <c:v>13.638499999999999</c:v>
                </c:pt>
                <c:pt idx="68">
                  <c:v>9.8979999999999979</c:v>
                </c:pt>
                <c:pt idx="69">
                  <c:v>12.115</c:v>
                </c:pt>
                <c:pt idx="70">
                  <c:v>10.084000000000001</c:v>
                </c:pt>
                <c:pt idx="71">
                  <c:v>10.940000000000001</c:v>
                </c:pt>
                <c:pt idx="72">
                  <c:v>11.212500000000002</c:v>
                </c:pt>
                <c:pt idx="73">
                  <c:v>13.551333333333332</c:v>
                </c:pt>
                <c:pt idx="74">
                  <c:v>12.318000000000003</c:v>
                </c:pt>
                <c:pt idx="75">
                  <c:v>11.539666666666665</c:v>
                </c:pt>
                <c:pt idx="76">
                  <c:v>11.285000000000002</c:v>
                </c:pt>
                <c:pt idx="77">
                  <c:v>12.342000000000001</c:v>
                </c:pt>
                <c:pt idx="78">
                  <c:v>9</c:v>
                </c:pt>
                <c:pt idx="79">
                  <c:v>4.6039999999999992</c:v>
                </c:pt>
                <c:pt idx="80">
                  <c:v>11.226000000000001</c:v>
                </c:pt>
                <c:pt idx="81">
                  <c:v>9.42</c:v>
                </c:pt>
                <c:pt idx="82">
                  <c:v>13.116000000000001</c:v>
                </c:pt>
                <c:pt idx="83">
                  <c:v>10.041000000000002</c:v>
                </c:pt>
                <c:pt idx="84">
                  <c:v>12.780000000000001</c:v>
                </c:pt>
                <c:pt idx="85">
                  <c:v>5.61</c:v>
                </c:pt>
                <c:pt idx="86">
                  <c:v>8.9850000000000012</c:v>
                </c:pt>
                <c:pt idx="87">
                  <c:v>10.242000000000001</c:v>
                </c:pt>
                <c:pt idx="88">
                  <c:v>12.136000000000001</c:v>
                </c:pt>
                <c:pt idx="89">
                  <c:v>9.1120000000000001</c:v>
                </c:pt>
                <c:pt idx="90">
                  <c:v>10.250000000000002</c:v>
                </c:pt>
                <c:pt idx="91">
                  <c:v>11.73</c:v>
                </c:pt>
                <c:pt idx="92">
                  <c:v>9.9589999999999996</c:v>
                </c:pt>
                <c:pt idx="93">
                  <c:v>8.0890000000000004</c:v>
                </c:pt>
                <c:pt idx="94">
                  <c:v>8.82</c:v>
                </c:pt>
                <c:pt idx="95">
                  <c:v>9.7399999999999984</c:v>
                </c:pt>
                <c:pt idx="96">
                  <c:v>8.52</c:v>
                </c:pt>
                <c:pt idx="97">
                  <c:v>14.952375000000004</c:v>
                </c:pt>
                <c:pt idx="98">
                  <c:v>10.219000000000001</c:v>
                </c:pt>
                <c:pt idx="99">
                  <c:v>8.4359999999999999</c:v>
                </c:pt>
                <c:pt idx="100">
                  <c:v>10.47</c:v>
                </c:pt>
                <c:pt idx="101">
                  <c:v>9.1560000000000006</c:v>
                </c:pt>
                <c:pt idx="102">
                  <c:v>8.9700000000000006</c:v>
                </c:pt>
                <c:pt idx="103">
                  <c:v>8.4710000000000019</c:v>
                </c:pt>
                <c:pt idx="104">
                  <c:v>7.5000000000000018</c:v>
                </c:pt>
                <c:pt idx="105">
                  <c:v>10.29</c:v>
                </c:pt>
                <c:pt idx="106">
                  <c:v>4.5980000000000008</c:v>
                </c:pt>
                <c:pt idx="107">
                  <c:v>11.810000000000002</c:v>
                </c:pt>
                <c:pt idx="108">
                  <c:v>4.7890000000000006</c:v>
                </c:pt>
                <c:pt idx="109">
                  <c:v>10.647</c:v>
                </c:pt>
                <c:pt idx="110">
                  <c:v>9.1120000000000019</c:v>
                </c:pt>
                <c:pt idx="111">
                  <c:v>5.5220000000000002</c:v>
                </c:pt>
                <c:pt idx="112">
                  <c:v>9.9390000000000001</c:v>
                </c:pt>
                <c:pt idx="113">
                  <c:v>9.229000000000001</c:v>
                </c:pt>
                <c:pt idx="114">
                  <c:v>8.3670000000000009</c:v>
                </c:pt>
                <c:pt idx="115">
                  <c:v>7.2</c:v>
                </c:pt>
                <c:pt idx="116">
                  <c:v>8.65</c:v>
                </c:pt>
                <c:pt idx="117">
                  <c:v>8.822000000000001</c:v>
                </c:pt>
                <c:pt idx="118">
                  <c:v>9.9480000000000004</c:v>
                </c:pt>
                <c:pt idx="119">
                  <c:v>7.9960000000000013</c:v>
                </c:pt>
                <c:pt idx="120">
                  <c:v>10.915000000000001</c:v>
                </c:pt>
                <c:pt idx="121">
                  <c:v>8.2210000000000001</c:v>
                </c:pt>
                <c:pt idx="122">
                  <c:v>8.4920000000000009</c:v>
                </c:pt>
                <c:pt idx="123">
                  <c:v>8.0440000000000005</c:v>
                </c:pt>
                <c:pt idx="124">
                  <c:v>9.6900000000000013</c:v>
                </c:pt>
                <c:pt idx="125">
                  <c:v>8.5680000000000014</c:v>
                </c:pt>
                <c:pt idx="126">
                  <c:v>8.2560000000000002</c:v>
                </c:pt>
                <c:pt idx="127">
                  <c:v>8.1219999999999999</c:v>
                </c:pt>
                <c:pt idx="128">
                  <c:v>8.0679999999999996</c:v>
                </c:pt>
                <c:pt idx="129">
                  <c:v>8.080857142857143</c:v>
                </c:pt>
                <c:pt idx="130">
                  <c:v>8.0679999999999996</c:v>
                </c:pt>
                <c:pt idx="131">
                  <c:v>5.6700000000000008</c:v>
                </c:pt>
                <c:pt idx="132">
                  <c:v>7.9170000000000007</c:v>
                </c:pt>
                <c:pt idx="133">
                  <c:v>7.9269999999999996</c:v>
                </c:pt>
                <c:pt idx="134">
                  <c:v>5.27</c:v>
                </c:pt>
                <c:pt idx="135">
                  <c:v>5.3640000000000008</c:v>
                </c:pt>
                <c:pt idx="136">
                  <c:v>6.1379999999999999</c:v>
                </c:pt>
                <c:pt idx="137">
                  <c:v>7.0516666666666685</c:v>
                </c:pt>
                <c:pt idx="138">
                  <c:v>5.6560000000000006</c:v>
                </c:pt>
                <c:pt idx="139">
                  <c:v>9.9670000000000005</c:v>
                </c:pt>
                <c:pt idx="140">
                  <c:v>5.5380000000000003</c:v>
                </c:pt>
                <c:pt idx="141">
                  <c:v>7.9520000000000017</c:v>
                </c:pt>
                <c:pt idx="142">
                  <c:v>7.5330000000000004</c:v>
                </c:pt>
                <c:pt idx="143">
                  <c:v>4.8090000000000002</c:v>
                </c:pt>
                <c:pt idx="144">
                  <c:v>9.3954999999999984</c:v>
                </c:pt>
                <c:pt idx="145">
                  <c:v>4.625</c:v>
                </c:pt>
                <c:pt idx="146">
                  <c:v>5.5380000000000003</c:v>
                </c:pt>
                <c:pt idx="147">
                  <c:v>5.6020000000000003</c:v>
                </c:pt>
                <c:pt idx="148">
                  <c:v>5.516</c:v>
                </c:pt>
                <c:pt idx="149">
                  <c:v>5.5080000000000009</c:v>
                </c:pt>
                <c:pt idx="150">
                  <c:v>5.7249999999999996</c:v>
                </c:pt>
                <c:pt idx="151">
                  <c:v>5.78</c:v>
                </c:pt>
                <c:pt idx="152">
                  <c:v>4.8770000000000007</c:v>
                </c:pt>
                <c:pt idx="153">
                  <c:v>6.3040000000000003</c:v>
                </c:pt>
                <c:pt idx="154">
                  <c:v>5.3580000000000005</c:v>
                </c:pt>
                <c:pt idx="155">
                  <c:v>4.8360000000000003</c:v>
                </c:pt>
                <c:pt idx="156">
                  <c:v>4.8494999999999999</c:v>
                </c:pt>
                <c:pt idx="157">
                  <c:v>4.927999999999999</c:v>
                </c:pt>
                <c:pt idx="158">
                  <c:v>5.0860000000000003</c:v>
                </c:pt>
                <c:pt idx="159">
                  <c:v>4.8360000000000003</c:v>
                </c:pt>
                <c:pt idx="160">
                  <c:v>4.8109999999999999</c:v>
                </c:pt>
                <c:pt idx="161">
                  <c:v>5.1745000000000001</c:v>
                </c:pt>
                <c:pt idx="162">
                  <c:v>5.1050000000000004</c:v>
                </c:pt>
                <c:pt idx="163">
                  <c:v>6.0869999999999997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81-45D7-9888-DE254F1C8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11072"/>
        <c:axId val="351000904"/>
      </c:scatterChart>
      <c:valAx>
        <c:axId val="35101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NP Gain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00904"/>
        <c:crosses val="autoZero"/>
        <c:crossBetween val="midCat"/>
      </c:valAx>
      <c:valAx>
        <c:axId val="3510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Star 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01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4</xdr:row>
      <xdr:rowOff>0</xdr:rowOff>
    </xdr:from>
    <xdr:to>
      <xdr:col>28</xdr:col>
      <xdr:colOff>142875</xdr:colOff>
      <xdr:row>46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83085C-1021-4A35-9900-69A5A3D14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ppspro.com/Utilities/ChartLabeler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blogs.nrvnqsr.com/entry.php/3307-How-many-crit-stars-do-I-get-in-combat" TargetMode="External"/><Relationship Id="rId1" Type="http://schemas.openxmlformats.org/officeDocument/2006/relationships/hyperlink" Target="http://blogs.nrvnqsr.com/entry.php/3306-How-much-NP-do-I-get-in-comb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0"/>
  <sheetViews>
    <sheetView topLeftCell="X1" workbookViewId="0">
      <pane ySplit="1" topLeftCell="A2" activePane="bottomLeft" state="frozen"/>
      <selection pane="bottomLeft" activeCell="AH2" sqref="AH2:AH21"/>
    </sheetView>
  </sheetViews>
  <sheetFormatPr defaultRowHeight="15" x14ac:dyDescent="0.25"/>
  <cols>
    <col min="1" max="1" width="4.140625" customWidth="1"/>
    <col min="2" max="2" width="2.5703125" customWidth="1"/>
    <col min="3" max="3" width="8.42578125" bestFit="1" customWidth="1"/>
    <col min="4" max="4" width="19.85546875" customWidth="1"/>
    <col min="5" max="5" width="7.5703125" bestFit="1" customWidth="1"/>
    <col min="6" max="6" width="2.7109375" style="3" customWidth="1"/>
    <col min="7" max="7" width="3.42578125" style="3" customWidth="1"/>
    <col min="8" max="8" width="3.28515625" style="4" customWidth="1"/>
    <col min="9" max="9" width="3.140625" style="4" customWidth="1"/>
    <col min="10" max="10" width="2.5703125" style="2" customWidth="1"/>
    <col min="11" max="11" width="3.28515625" style="2" customWidth="1"/>
    <col min="12" max="12" width="7.28515625" style="6" customWidth="1"/>
    <col min="13" max="13" width="8.28515625" style="5" customWidth="1"/>
    <col min="14" max="14" width="7.28515625" style="3" customWidth="1"/>
    <col min="15" max="15" width="7.28515625" style="4" customWidth="1"/>
    <col min="16" max="17" width="7.28515625" style="2" customWidth="1"/>
    <col min="18" max="18" width="6.7109375" style="5" customWidth="1"/>
    <col min="19" max="19" width="6.85546875" style="5" customWidth="1"/>
    <col min="20" max="20" width="7.5703125" style="5" customWidth="1"/>
    <col min="21" max="21" width="5.28515625" customWidth="1"/>
    <col min="22" max="22" width="5.140625" style="7" customWidth="1"/>
    <col min="23" max="23" width="8" style="12" bestFit="1" customWidth="1"/>
    <col min="24" max="24" width="7.85546875" style="13" bestFit="1" customWidth="1"/>
    <col min="25" max="25" width="7.7109375" style="14" bestFit="1" customWidth="1"/>
    <col min="26" max="26" width="7.85546875" style="15" customWidth="1"/>
    <col min="27" max="27" width="8.140625" style="6" bestFit="1" customWidth="1"/>
    <col min="28" max="28" width="6.42578125" style="12" bestFit="1" customWidth="1"/>
    <col min="29" max="29" width="6.28515625" style="13" bestFit="1" customWidth="1"/>
    <col min="30" max="30" width="6.140625" style="14" bestFit="1" customWidth="1"/>
    <col min="31" max="31" width="7.28515625" style="11" customWidth="1"/>
    <col min="32" max="32" width="7.140625" bestFit="1" customWidth="1"/>
    <col min="33" max="33" width="7.85546875" customWidth="1"/>
    <col min="34" max="34" width="148.7109375" bestFit="1" customWidth="1"/>
  </cols>
  <sheetData>
    <row r="1" spans="1:34" x14ac:dyDescent="0.25">
      <c r="A1" t="s">
        <v>0</v>
      </c>
      <c r="B1" t="s">
        <v>239</v>
      </c>
      <c r="C1" t="s">
        <v>1</v>
      </c>
      <c r="D1" t="s">
        <v>2</v>
      </c>
      <c r="E1" t="s">
        <v>3</v>
      </c>
      <c r="F1" s="3" t="s">
        <v>37</v>
      </c>
      <c r="G1" s="3" t="s">
        <v>38</v>
      </c>
      <c r="H1" s="4" t="s">
        <v>39</v>
      </c>
      <c r="I1" s="4" t="s">
        <v>40</v>
      </c>
      <c r="J1" s="2" t="s">
        <v>41</v>
      </c>
      <c r="K1" s="2" t="s">
        <v>42</v>
      </c>
      <c r="L1" s="6" t="s">
        <v>43</v>
      </c>
      <c r="M1" s="5" t="s">
        <v>44</v>
      </c>
      <c r="N1" s="3" t="s">
        <v>226</v>
      </c>
      <c r="O1" s="4" t="s">
        <v>227</v>
      </c>
      <c r="P1" s="2" t="s">
        <v>228</v>
      </c>
      <c r="Q1" s="6" t="s">
        <v>248</v>
      </c>
      <c r="R1" s="5" t="s">
        <v>225</v>
      </c>
      <c r="S1" s="6" t="s">
        <v>246</v>
      </c>
      <c r="T1" s="5" t="s">
        <v>247</v>
      </c>
      <c r="U1" t="s">
        <v>263</v>
      </c>
      <c r="V1" s="7" t="s">
        <v>77</v>
      </c>
      <c r="W1" s="12" t="s">
        <v>159</v>
      </c>
      <c r="X1" s="13" t="s">
        <v>160</v>
      </c>
      <c r="Y1" s="14" t="s">
        <v>161</v>
      </c>
      <c r="Z1" s="15" t="s">
        <v>162</v>
      </c>
      <c r="AA1" s="6" t="s">
        <v>245</v>
      </c>
      <c r="AB1" s="12" t="s">
        <v>240</v>
      </c>
      <c r="AC1" s="13" t="s">
        <v>241</v>
      </c>
      <c r="AD1" s="14" t="s">
        <v>242</v>
      </c>
      <c r="AE1" s="11" t="s">
        <v>163</v>
      </c>
      <c r="AF1" s="5" t="s">
        <v>244</v>
      </c>
      <c r="AG1" t="s">
        <v>243</v>
      </c>
      <c r="AH1" t="str">
        <f>CONCATENATE(D1,"|",B1,"|",C1,"|",E1,"|",W1,"|",X1,"|",Y1,"|",AB1,"|",AC1,"|",AD1,"|",Z1,"|",AE1,"|",AA1,"|",AF1,"|",AG1)</f>
        <v>Name|*|Class|Pattern|Q-NP|A-NP|B-NP|Q-*|A-*|B-*|Total NP|Total Star|Percent NP|Percent Star|Percent Overall</v>
      </c>
    </row>
    <row r="2" spans="1:34" x14ac:dyDescent="0.25">
      <c r="A2">
        <v>75</v>
      </c>
      <c r="B2">
        <v>5</v>
      </c>
      <c r="C2" t="s">
        <v>164</v>
      </c>
      <c r="D2" t="s">
        <v>173</v>
      </c>
      <c r="E2" t="s">
        <v>111</v>
      </c>
      <c r="F2" s="3">
        <v>3</v>
      </c>
      <c r="G2" s="3">
        <v>5</v>
      </c>
      <c r="H2" s="4">
        <v>1</v>
      </c>
      <c r="I2" s="4">
        <v>2</v>
      </c>
      <c r="J2" s="2">
        <v>1</v>
      </c>
      <c r="K2" s="2">
        <v>2</v>
      </c>
      <c r="L2" s="6">
        <v>1.07</v>
      </c>
      <c r="M2" s="5">
        <v>25.5</v>
      </c>
      <c r="N2" s="3">
        <f>50/6</f>
        <v>8.3333333333333339</v>
      </c>
      <c r="O2" s="4">
        <v>0</v>
      </c>
      <c r="P2" s="2">
        <v>0</v>
      </c>
      <c r="Q2" s="6">
        <v>0</v>
      </c>
      <c r="R2" s="5">
        <v>10.5</v>
      </c>
      <c r="S2" s="6">
        <v>0</v>
      </c>
      <c r="T2" s="5">
        <v>0</v>
      </c>
      <c r="U2">
        <f>VLOOKUP(C2,classOrder,2,FALSE)</f>
        <v>7</v>
      </c>
      <c r="V2" s="7">
        <f>F2+H2+J2</f>
        <v>5</v>
      </c>
      <c r="W2" s="12">
        <f>L2*(firstCardNpBonus+VLOOKUP($W$1, cardNpValue, 2, FALSE)*(1+(N2/100))*(1+(Q2/100)))*G2</f>
        <v>14.043750000000001</v>
      </c>
      <c r="X2" s="13">
        <f>L2*(firstCardNpBonus+VLOOKUP($X$1, cardNpValue, 2,FALSE)*(1+(O2/100))*(1+(Q2/100)))*I2</f>
        <v>11.770000000000001</v>
      </c>
      <c r="Y2" s="14">
        <f>L2*(firstCardNpBonus+VLOOKUP($Y$1, cardNpValue, 2,FALSE)*(1+(P2/100))*(1+(Q2/100)))*K2</f>
        <v>2.14</v>
      </c>
      <c r="Z2" s="15">
        <f>F2*W2+H2*X2+J2*Y2+S2</f>
        <v>56.041250000000005</v>
      </c>
      <c r="AA2" s="8">
        <f>Z2/maxTotalNpGain</f>
        <v>0.88979686963069993</v>
      </c>
      <c r="AB2" s="12">
        <f>((M2/100)+firstCardStarBonus+VLOOKUP($AB$1, cardStarValue, 2, FALSE)*(1+(N2/100))+(R2/100))*G2</f>
        <v>9.8416666666666668</v>
      </c>
      <c r="AC2" s="13">
        <f>((M2/100)+firstCardStarBonus+VLOOKUP($AC$1, cardStarValue, 2,FALSE )*(1+(O2/100))+(R2/100))*I2</f>
        <v>1.1200000000000001</v>
      </c>
      <c r="AD2" s="14">
        <f>((M2/100)+firstCardStarBonus+VLOOKUP($AD$1, cardStarValue, 2, FALSE)*(1+(P2/100))+(R2/100))*K2</f>
        <v>1.42</v>
      </c>
      <c r="AE2" s="11">
        <f>AB2*F2+AC2*H2+AD2*J2+T2</f>
        <v>32.064999999999998</v>
      </c>
      <c r="AF2" s="9">
        <f>AE2/maxTotalStarGen</f>
        <v>1</v>
      </c>
      <c r="AG2" s="10">
        <f>(AA2+AF2)/2</f>
        <v>0.94489843481534996</v>
      </c>
      <c r="AH2" t="str">
        <f>CONCATENATE(D2,"|",B2,"|",C2,"|",E2,"|",ROUND(W2,2),"|",ROUND(X2,2),"|",ROUND(Y2,2),"|",ROUND(AB2,2),"|",ROUND(AC2,2),"|",ROUND(AD2,2),"|",ROUND(Z2,2),"|",ROUND(AE2,2),"|",ROUND(AA2*100,2),"%|",ROUND(AF2*100,2),"%|",ROUND(AG2*100,2),"%")</f>
        <v>Jack the Ripper|5|Assassin|QQQAB|14.04|11.77|2.14|9.84|1.12|1.42|56.04|32.07|88.98%|100%|94.49%</v>
      </c>
    </row>
    <row r="3" spans="1:34" x14ac:dyDescent="0.25">
      <c r="A3">
        <v>139</v>
      </c>
      <c r="B3">
        <v>5</v>
      </c>
      <c r="C3" t="s">
        <v>164</v>
      </c>
      <c r="D3" t="s">
        <v>182</v>
      </c>
      <c r="E3" t="s">
        <v>36</v>
      </c>
      <c r="F3" s="3">
        <v>2</v>
      </c>
      <c r="G3" s="3">
        <v>4</v>
      </c>
      <c r="H3" s="4">
        <v>1</v>
      </c>
      <c r="I3" s="4">
        <v>2</v>
      </c>
      <c r="J3" s="2">
        <v>2</v>
      </c>
      <c r="K3" s="2">
        <v>3</v>
      </c>
      <c r="L3" s="6">
        <v>1.06</v>
      </c>
      <c r="M3" s="5">
        <v>25.5</v>
      </c>
      <c r="N3" s="3">
        <v>0</v>
      </c>
      <c r="O3" s="4">
        <v>0</v>
      </c>
      <c r="P3" s="2">
        <v>0</v>
      </c>
      <c r="Q3" s="6">
        <f>40*3/6</f>
        <v>20</v>
      </c>
      <c r="R3" s="5">
        <v>8</v>
      </c>
      <c r="S3" s="6">
        <f>10*3/6</f>
        <v>5</v>
      </c>
      <c r="T3" s="5">
        <f>20/6</f>
        <v>3.3333333333333335</v>
      </c>
      <c r="U3">
        <f>VLOOKUP(C3,classOrder,2,FALSE)</f>
        <v>7</v>
      </c>
      <c r="V3" s="7">
        <f>F3+H3+J3</f>
        <v>5</v>
      </c>
      <c r="W3" s="12">
        <f>L3*(firstCardNpBonus+VLOOKUP($W$1, cardNpValue, 2, FALSE)*(1+(N3/100))*(1+(Q3/100)))*G3</f>
        <v>11.872</v>
      </c>
      <c r="X3" s="13">
        <f>L3*(firstCardNpBonus+VLOOKUP($X$1, cardNpValue, 2,FALSE)*(1+(O3/100))*(1+(Q3/100)))*I3</f>
        <v>13.568</v>
      </c>
      <c r="Y3" s="14">
        <f>L3*(firstCardNpBonus+VLOOKUP($Y$1, cardNpValue, 2,FALSE)*(1+(P3/100))*(1+(Q3/100)))*K3</f>
        <v>3.18</v>
      </c>
      <c r="Z3" s="15">
        <f>F3*W3+H3*X3+J3*Y3+S3</f>
        <v>48.671999999999997</v>
      </c>
      <c r="AA3" s="8">
        <f>Z3/maxTotalNpGain</f>
        <v>0.77279134991930798</v>
      </c>
      <c r="AB3" s="12">
        <f>((M3/100)+firstCardStarBonus+VLOOKUP($AB$1, cardStarValue, 2, FALSE)*(1+(N3/100))+(R3/100))*G3</f>
        <v>7.3400000000000007</v>
      </c>
      <c r="AC3" s="13">
        <f>((M3/100)+firstCardStarBonus+VLOOKUP($AC$1, cardStarValue, 2,FALSE )*(1+(O3/100))+(R3/100))*I3</f>
        <v>1.07</v>
      </c>
      <c r="AD3" s="14">
        <f>((M3/100)+firstCardStarBonus+VLOOKUP($AD$1, cardStarValue, 2, FALSE)*(1+(P3/100))+(R3/100))*K3</f>
        <v>2.0549999999999997</v>
      </c>
      <c r="AE3" s="11">
        <f>AB3*F3+AC3*H3+AD3*J3+T3</f>
        <v>23.193333333333332</v>
      </c>
      <c r="AF3" s="9">
        <f>AE3/maxTotalStarGen</f>
        <v>0.72332241800509378</v>
      </c>
      <c r="AG3" s="10">
        <f>(AA3+AF3)/2</f>
        <v>0.74805688396220082</v>
      </c>
      <c r="AH3" t="str">
        <f>CONCATENATE(D3,"|",B3,"|",C3,"|",E3,"|",ROUND(W3,2),"|",ROUND(X3,2),"|",ROUND(Y3,2),"|",ROUND(AB3,2),"|",ROUND(AC3,2),"|",ROUND(AD3,2),"|",ROUND(Z3,2),"|",ROUND(AE3,2),"|",ROUND(AA3*100,2),"%|",ROUND(AF3*100,2),"%|",ROUND(AG3*100,2),"%")</f>
        <v>Cleopatra|5|Assassin|QQABB|11.87|13.57|3.18|7.34|1.07|2.06|48.67|23.19|77.28%|72.33%|74.81%</v>
      </c>
    </row>
    <row r="4" spans="1:34" x14ac:dyDescent="0.25">
      <c r="A4">
        <v>137</v>
      </c>
      <c r="B4">
        <v>4</v>
      </c>
      <c r="C4" t="s">
        <v>63</v>
      </c>
      <c r="D4" t="s">
        <v>83</v>
      </c>
      <c r="E4" t="s">
        <v>67</v>
      </c>
      <c r="F4" s="3">
        <v>2</v>
      </c>
      <c r="G4" s="3">
        <v>3</v>
      </c>
      <c r="H4" s="4">
        <v>2</v>
      </c>
      <c r="I4" s="4">
        <v>6</v>
      </c>
      <c r="J4" s="2">
        <v>1</v>
      </c>
      <c r="K4" s="2">
        <v>2</v>
      </c>
      <c r="L4" s="6">
        <v>0.38</v>
      </c>
      <c r="M4" s="5">
        <v>8</v>
      </c>
      <c r="N4" s="3">
        <f>35/5</f>
        <v>7</v>
      </c>
      <c r="O4" s="4">
        <f>35/5</f>
        <v>7</v>
      </c>
      <c r="P4" s="2">
        <f>35/5</f>
        <v>7</v>
      </c>
      <c r="Q4" s="6">
        <v>0</v>
      </c>
      <c r="R4" s="5">
        <f>100*3/6</f>
        <v>50</v>
      </c>
      <c r="S4" s="6">
        <f>50/6</f>
        <v>8.3333333333333339</v>
      </c>
      <c r="T4" s="5">
        <v>0</v>
      </c>
      <c r="U4">
        <f>VLOOKUP(C4,classOrder,2,FALSE)</f>
        <v>3</v>
      </c>
      <c r="V4" s="7">
        <f>F4+H4+J4</f>
        <v>5</v>
      </c>
      <c r="W4" s="12">
        <f>L4*(firstCardNpBonus+VLOOKUP($W$1, cardNpValue, 2, FALSE)*(1+(N4/100))*(1+(Q4/100)))*G4</f>
        <v>2.9697</v>
      </c>
      <c r="X4" s="13">
        <f>L4*(firstCardNpBonus+VLOOKUP($X$1, cardNpValue, 2,FALSE)*(1+(O4/100))*(1+(Q4/100)))*I4</f>
        <v>13.258200000000002</v>
      </c>
      <c r="Y4" s="14">
        <f>L4*(firstCardNpBonus+VLOOKUP($Y$1, cardNpValue, 2,FALSE)*(1+(P4/100))*(1+(Q4/100)))*K4</f>
        <v>0.76</v>
      </c>
      <c r="Z4" s="15">
        <f>F4*W4+H4*X4+J4*Y4+S4</f>
        <v>41.549133333333337</v>
      </c>
      <c r="AA4" s="8">
        <f>Z4/maxTotalNpGain</f>
        <v>0.6596977900362424</v>
      </c>
      <c r="AB4" s="12">
        <f>((M4/100)+firstCardStarBonus+VLOOKUP($AB$1, cardStarValue, 2, FALSE)*(1+(N4/100))+(R4/100))*G4</f>
        <v>6.5130000000000008</v>
      </c>
      <c r="AC4" s="13">
        <f>((M4/100)+firstCardStarBonus+VLOOKUP($AC$1, cardStarValue, 2,FALSE )*(1+(O4/100))+(R4/100))*I4</f>
        <v>4.68</v>
      </c>
      <c r="AD4" s="14">
        <f>((M4/100)+firstCardStarBonus+VLOOKUP($AD$1, cardStarValue, 2, FALSE)*(1+(P4/100))+(R4/100))*K4</f>
        <v>1.881</v>
      </c>
      <c r="AE4" s="11">
        <f>AB4*F4+AC4*H4+AD4*J4+T4</f>
        <v>24.267000000000003</v>
      </c>
      <c r="AF4" s="9">
        <f>AE4/maxTotalStarGen</f>
        <v>0.7568064868236396</v>
      </c>
      <c r="AG4" s="10">
        <f>(AA4+AF4)/2</f>
        <v>0.70825213842994095</v>
      </c>
      <c r="AH4" t="str">
        <f>CONCATENATE(D4,"|",B4,"|",C4,"|",E4,"|",ROUND(W4,2),"|",ROUND(X4,2),"|",ROUND(Y4,2),"|",ROUND(AB4,2),"|",ROUND(AC4,2),"|",ROUND(AD4,2),"|",ROUND(Z4,2),"|",ROUND(AE4,2),"|",ROUND(AA4*100,2),"%|",ROUND(AF4*100,2),"%|",ROUND(AG4*100,2),"%")</f>
        <v>Chloe von Einzbern|4|Archer|QQAAB|2.97|13.26|0.76|6.51|4.68|1.88|41.55|24.27|65.97%|75.68%|70.83%</v>
      </c>
    </row>
    <row r="5" spans="1:34" x14ac:dyDescent="0.25">
      <c r="A5">
        <v>115</v>
      </c>
      <c r="B5">
        <v>4</v>
      </c>
      <c r="C5" t="s">
        <v>114</v>
      </c>
      <c r="D5" t="s">
        <v>129</v>
      </c>
      <c r="E5" t="s">
        <v>36</v>
      </c>
      <c r="F5" s="3">
        <v>2</v>
      </c>
      <c r="G5" s="3">
        <v>4</v>
      </c>
      <c r="H5" s="4">
        <v>1</v>
      </c>
      <c r="I5" s="4">
        <v>2</v>
      </c>
      <c r="J5" s="2">
        <v>2</v>
      </c>
      <c r="K5" s="2">
        <v>1</v>
      </c>
      <c r="L5" s="6">
        <v>1.1499999999999999</v>
      </c>
      <c r="M5" s="5">
        <v>9</v>
      </c>
      <c r="N5" s="3">
        <f>30*3/5</f>
        <v>18</v>
      </c>
      <c r="O5" s="4">
        <v>0</v>
      </c>
      <c r="P5" s="2">
        <v>0</v>
      </c>
      <c r="Q5" s="6">
        <v>0</v>
      </c>
      <c r="R5" s="5">
        <f>50*3/5</f>
        <v>30</v>
      </c>
      <c r="S5" s="6">
        <f>50/6</f>
        <v>8.3333333333333339</v>
      </c>
      <c r="T5" s="5">
        <v>0</v>
      </c>
      <c r="U5">
        <f>VLOOKUP(C5,classOrder,2,FALSE)</f>
        <v>5</v>
      </c>
      <c r="V5" s="7">
        <f>F5+H5+J5</f>
        <v>5</v>
      </c>
      <c r="W5" s="12">
        <f>L5*(firstCardNpBonus+VLOOKUP($W$1, cardNpValue, 2, FALSE)*(1+(N5/100))*(1+(Q5/100)))*G5</f>
        <v>12.741999999999999</v>
      </c>
      <c r="X5" s="13">
        <f>L5*(firstCardNpBonus+VLOOKUP($X$1, cardNpValue, 2,FALSE)*(1+(O5/100))*(1+(Q5/100)))*I5</f>
        <v>12.649999999999999</v>
      </c>
      <c r="Y5" s="14">
        <f>L5*(firstCardNpBonus+VLOOKUP($Y$1, cardNpValue, 2,FALSE)*(1+(P5/100))*(1+(Q5/100)))*K5</f>
        <v>1.1499999999999999</v>
      </c>
      <c r="Z5" s="15">
        <f>F5*W5+H5*X5+J5*Y5+S5</f>
        <v>48.767333333333333</v>
      </c>
      <c r="AA5" s="8">
        <f>Z5/maxTotalNpGain</f>
        <v>0.77430500819016146</v>
      </c>
      <c r="AB5" s="12">
        <f>((M5/100)+firstCardStarBonus+VLOOKUP($AB$1, cardStarValue, 2, FALSE)*(1+(N5/100))+(R5/100))*G5</f>
        <v>8.4960000000000004</v>
      </c>
      <c r="AC5" s="13">
        <f>((M5/100)+firstCardStarBonus+VLOOKUP($AC$1, cardStarValue, 2,FALSE )*(1+(O5/100))+(R5/100))*I5</f>
        <v>1.1800000000000002</v>
      </c>
      <c r="AD5" s="14">
        <f>((M5/100)+firstCardStarBonus+VLOOKUP($AD$1, cardStarValue, 2, FALSE)*(1+(P5/100))+(R5/100))*K5</f>
        <v>0.74</v>
      </c>
      <c r="AE5" s="11">
        <f>AB5*F5+AC5*H5+AD5*J5+T5</f>
        <v>19.652000000000001</v>
      </c>
      <c r="AF5" s="9">
        <f>AE5/maxTotalStarGen</f>
        <v>0.612880087322626</v>
      </c>
      <c r="AG5" s="10">
        <f>(AA5+AF5)/2</f>
        <v>0.69359254775639378</v>
      </c>
      <c r="AH5" t="str">
        <f>CONCATENATE(D5,"|",B5,"|",C5,"|",E5,"|",ROUND(W5,2),"|",ROUND(X5,2),"|",ROUND(Y5,2),"|",ROUND(AB5,2),"|",ROUND(AC5,2),"|",ROUND(AD5,2),"|",ROUND(Z5,2),"|",ROUND(AE5,2),"|",ROUND(AA5*100,2),"%|",ROUND(AF5*100,2),"%|",ROUND(AG5*100,2),"%")</f>
        <v>Sakata Kintoki (Rider)|4|Rider|QQABB|12.74|12.65|1.15|8.5|1.18|0.74|48.77|19.65|77.43%|61.29%|69.36%</v>
      </c>
    </row>
    <row r="6" spans="1:34" x14ac:dyDescent="0.25">
      <c r="A6">
        <v>46</v>
      </c>
      <c r="B6">
        <v>4</v>
      </c>
      <c r="C6" t="s">
        <v>164</v>
      </c>
      <c r="D6" t="s">
        <v>172</v>
      </c>
      <c r="E6" t="s">
        <v>111</v>
      </c>
      <c r="F6" s="3">
        <v>3</v>
      </c>
      <c r="G6" s="3">
        <v>2</v>
      </c>
      <c r="H6" s="4">
        <v>1</v>
      </c>
      <c r="I6" s="4">
        <v>1</v>
      </c>
      <c r="J6" s="2">
        <v>1</v>
      </c>
      <c r="K6" s="2">
        <v>1</v>
      </c>
      <c r="L6" s="6">
        <v>2.15</v>
      </c>
      <c r="M6" s="5">
        <v>25.2</v>
      </c>
      <c r="N6" s="3">
        <v>0</v>
      </c>
      <c r="O6" s="4">
        <v>0</v>
      </c>
      <c r="P6" s="2">
        <v>0</v>
      </c>
      <c r="Q6" s="6">
        <v>0</v>
      </c>
      <c r="R6" s="5">
        <v>4</v>
      </c>
      <c r="S6" s="6">
        <f>27/6</f>
        <v>4.5</v>
      </c>
      <c r="T6" s="5">
        <f>10*3/6</f>
        <v>5</v>
      </c>
      <c r="U6">
        <f>VLOOKUP(C6,classOrder,2,FALSE)</f>
        <v>7</v>
      </c>
      <c r="V6" s="7">
        <f>F6+H6+J6</f>
        <v>5</v>
      </c>
      <c r="W6" s="12">
        <f>L6*(firstCardNpBonus+VLOOKUP($W$1, cardNpValue, 2, FALSE)*(1+(N6/100))*(1+(Q6/100)))*G6</f>
        <v>10.75</v>
      </c>
      <c r="X6" s="13">
        <f>L6*(firstCardNpBonus+VLOOKUP($X$1, cardNpValue, 2,FALSE)*(1+(O6/100))*(1+(Q6/100)))*I6</f>
        <v>11.824999999999999</v>
      </c>
      <c r="Y6" s="14">
        <f>L6*(firstCardNpBonus+VLOOKUP($Y$1, cardNpValue, 2,FALSE)*(1+(P6/100))*(1+(Q6/100)))*K6</f>
        <v>2.15</v>
      </c>
      <c r="Z6" s="15">
        <f>F6*W6+H6*X6+J6*Y6+S6</f>
        <v>50.725000000000001</v>
      </c>
      <c r="AA6" s="8">
        <f>Z6/maxTotalNpGain</f>
        <v>0.80538792785702051</v>
      </c>
      <c r="AB6" s="12">
        <f>((M6/100)+firstCardStarBonus+VLOOKUP($AB$1, cardStarValue, 2, FALSE)*(1+(N6/100))+(R6/100))*G6</f>
        <v>3.5840000000000001</v>
      </c>
      <c r="AC6" s="13">
        <f>((M6/100)+firstCardStarBonus+VLOOKUP($AC$1, cardStarValue, 2,FALSE )*(1+(O6/100))+(R6/100))*I6</f>
        <v>0.49199999999999999</v>
      </c>
      <c r="AD6" s="14">
        <f>((M6/100)+firstCardStarBonus+VLOOKUP($AD$1, cardStarValue, 2, FALSE)*(1+(P6/100))+(R6/100))*K6</f>
        <v>0.64200000000000002</v>
      </c>
      <c r="AE6" s="11">
        <f>AB6*F6+AC6*H6+AD6*J6+T6</f>
        <v>16.885999999999999</v>
      </c>
      <c r="AF6" s="9">
        <f>AE6/maxTotalStarGen</f>
        <v>0.52661780757835652</v>
      </c>
      <c r="AG6" s="10">
        <f>(AA6+AF6)/2</f>
        <v>0.66600286771768857</v>
      </c>
      <c r="AH6" t="str">
        <f>CONCATENATE(D6,"|",B6,"|",C6,"|",E6,"|",ROUND(W6,2),"|",ROUND(X6,2),"|",ROUND(Y6,2),"|",ROUND(AB6,2),"|",ROUND(AC6,2),"|",ROUND(AD6,2),"|",ROUND(Z6,2),"|",ROUND(AE6,2),"|",ROUND(AA6*100,2),"%|",ROUND(AF6*100,2),"%|",ROUND(AG6*100,2),"%")</f>
        <v>Carmilla|4|Assassin|QQQAB|10.75|11.83|2.15|3.58|0.49|0.64|50.73|16.89|80.54%|52.66%|66.6%</v>
      </c>
    </row>
    <row r="7" spans="1:34" x14ac:dyDescent="0.25">
      <c r="A7">
        <v>40</v>
      </c>
      <c r="B7">
        <v>2</v>
      </c>
      <c r="C7" t="s">
        <v>164</v>
      </c>
      <c r="D7" t="s">
        <v>166</v>
      </c>
      <c r="E7" t="s">
        <v>111</v>
      </c>
      <c r="F7" s="3">
        <v>3</v>
      </c>
      <c r="G7" s="3">
        <v>3</v>
      </c>
      <c r="H7" s="4">
        <v>1</v>
      </c>
      <c r="I7" s="4">
        <v>2</v>
      </c>
      <c r="J7" s="2">
        <v>1</v>
      </c>
      <c r="K7" s="2">
        <v>1</v>
      </c>
      <c r="L7" s="6">
        <v>1.07</v>
      </c>
      <c r="M7" s="5">
        <v>25.2</v>
      </c>
      <c r="N7" s="3">
        <v>0</v>
      </c>
      <c r="O7" s="4">
        <v>0</v>
      </c>
      <c r="P7" s="2">
        <v>0</v>
      </c>
      <c r="Q7" s="6">
        <v>0</v>
      </c>
      <c r="R7" s="5">
        <f>10.5+30*3/5</f>
        <v>28.5</v>
      </c>
      <c r="S7" s="6">
        <v>0</v>
      </c>
      <c r="T7" s="5">
        <f>12/4</f>
        <v>3</v>
      </c>
      <c r="U7">
        <f>VLOOKUP(C7,classOrder,2,FALSE)</f>
        <v>7</v>
      </c>
      <c r="V7" s="7">
        <f>F7+H7+J7</f>
        <v>5</v>
      </c>
      <c r="W7" s="12">
        <f>L7*(firstCardNpBonus+VLOOKUP($W$1, cardNpValue, 2, FALSE)*(1+(N7/100))*(1+(Q7/100)))*G7</f>
        <v>8.0250000000000004</v>
      </c>
      <c r="X7" s="13">
        <f>L7*(firstCardNpBonus+VLOOKUP($X$1, cardNpValue, 2,FALSE)*(1+(O7/100))*(1+(Q7/100)))*I7</f>
        <v>11.770000000000001</v>
      </c>
      <c r="Y7" s="14">
        <f>L7*(firstCardNpBonus+VLOOKUP($Y$1, cardNpValue, 2,FALSE)*(1+(P7/100))*(1+(Q7/100)))*K7</f>
        <v>1.07</v>
      </c>
      <c r="Z7" s="15">
        <f>F7*W7+H7*X7+J7*Y7+S7</f>
        <v>36.915000000000006</v>
      </c>
      <c r="AA7" s="8">
        <f>Z7/maxTotalNpGain</f>
        <v>0.58611917904074751</v>
      </c>
      <c r="AB7" s="12">
        <f>((M7/100)+firstCardStarBonus+VLOOKUP($AB$1, cardStarValue, 2, FALSE)*(1+(N7/100))+(R7/100))*G7</f>
        <v>6.1109999999999998</v>
      </c>
      <c r="AC7" s="13">
        <f>((M7/100)+firstCardStarBonus+VLOOKUP($AC$1, cardStarValue, 2,FALSE )*(1+(O7/100))+(R7/100))*I7</f>
        <v>1.474</v>
      </c>
      <c r="AD7" s="14">
        <f>((M7/100)+firstCardStarBonus+VLOOKUP($AD$1, cardStarValue, 2, FALSE)*(1+(P7/100))+(R7/100))*K7</f>
        <v>0.88700000000000001</v>
      </c>
      <c r="AE7" s="11">
        <f>AB7*F7+AC7*H7+AD7*J7+T7</f>
        <v>23.693999999999999</v>
      </c>
      <c r="AF7" s="9">
        <f>AE7/maxTotalStarGen</f>
        <v>0.73893653516295033</v>
      </c>
      <c r="AG7" s="10">
        <f>(AA7+AF7)/2</f>
        <v>0.66252785710184892</v>
      </c>
      <c r="AH7" t="str">
        <f>CONCATENATE(D7,"|",B7,"|",C7,"|",E7,"|",ROUND(W7,2),"|",ROUND(X7,2),"|",ROUND(Y7,2),"|",ROUND(AB7,2),"|",ROUND(AC7,2),"|",ROUND(AD7,2),"|",ROUND(Z7,2),"|",ROUND(AE7,2),"|",ROUND(AA7*100,2),"%|",ROUND(AF7*100,2),"%|",ROUND(AG7*100,2),"%")</f>
        <v>Cursed Arm Hassan|2|Assassin|QQQAB|8.03|11.77|1.07|6.11|1.47|0.89|36.92|23.69|58.61%|73.89%|66.25%</v>
      </c>
    </row>
    <row r="8" spans="1:34" x14ac:dyDescent="0.25">
      <c r="A8">
        <v>117</v>
      </c>
      <c r="B8">
        <v>3</v>
      </c>
      <c r="C8" t="s">
        <v>164</v>
      </c>
      <c r="D8" t="s">
        <v>179</v>
      </c>
      <c r="E8" t="s">
        <v>111</v>
      </c>
      <c r="F8" s="3">
        <v>3</v>
      </c>
      <c r="G8" s="3">
        <v>4</v>
      </c>
      <c r="H8" s="4">
        <v>1</v>
      </c>
      <c r="I8" s="4">
        <v>4</v>
      </c>
      <c r="J8" s="2">
        <v>1</v>
      </c>
      <c r="K8" s="2">
        <v>1</v>
      </c>
      <c r="L8" s="6">
        <v>0.54</v>
      </c>
      <c r="M8" s="5">
        <v>25.6</v>
      </c>
      <c r="N8" s="3">
        <v>0</v>
      </c>
      <c r="O8" s="4">
        <v>0</v>
      </c>
      <c r="P8" s="2">
        <v>0</v>
      </c>
      <c r="Q8" s="6">
        <v>0</v>
      </c>
      <c r="R8" s="5">
        <f>10.5+50/6</f>
        <v>18.833333333333336</v>
      </c>
      <c r="S8" s="6">
        <v>0</v>
      </c>
      <c r="T8" s="5">
        <v>0</v>
      </c>
      <c r="U8">
        <f>VLOOKUP(C8,classOrder,2,FALSE)</f>
        <v>7</v>
      </c>
      <c r="V8" s="7">
        <f>F8+H8+J8</f>
        <v>5</v>
      </c>
      <c r="W8" s="12">
        <f>L8*(firstCardNpBonus+VLOOKUP($W$1, cardNpValue, 2, FALSE)*(1+(N8/100))*(1+(Q8/100)))*G8</f>
        <v>5.4</v>
      </c>
      <c r="X8" s="13">
        <f>L8*(firstCardNpBonus+VLOOKUP($X$1, cardNpValue, 2,FALSE)*(1+(O8/100))*(1+(Q8/100)))*I8</f>
        <v>11.88</v>
      </c>
      <c r="Y8" s="14">
        <f>L8*(firstCardNpBonus+VLOOKUP($Y$1, cardNpValue, 2,FALSE)*(1+(P8/100))*(1+(Q8/100)))*K8</f>
        <v>0.54</v>
      </c>
      <c r="Z8" s="15">
        <f>F8*W8+H8*X8+J8*Y8+S8</f>
        <v>28.620000000000005</v>
      </c>
      <c r="AA8" s="8">
        <f>Z8/maxTotalNpGain</f>
        <v>0.45441503194219679</v>
      </c>
      <c r="AB8" s="12">
        <f>((M8/100)+firstCardStarBonus+VLOOKUP($AB$1, cardStarValue, 2, FALSE)*(1+(N8/100))+(R8/100))*G8</f>
        <v>7.777333333333333</v>
      </c>
      <c r="AC8" s="13">
        <f>((M8/100)+firstCardStarBonus+VLOOKUP($AC$1, cardStarValue, 2,FALSE )*(1+(O8/100))+(R8/100))*I8</f>
        <v>2.5773333333333337</v>
      </c>
      <c r="AD8" s="14">
        <f>((M8/100)+firstCardStarBonus+VLOOKUP($AD$1, cardStarValue, 2, FALSE)*(1+(P8/100))+(R8/100))*K8</f>
        <v>0.79433333333333334</v>
      </c>
      <c r="AE8" s="11">
        <f>AB8*F8+AC8*H8+AD8*J8+T8</f>
        <v>26.70366666666667</v>
      </c>
      <c r="AF8" s="9">
        <f>AE8/maxTotalStarGen</f>
        <v>0.83279796247206217</v>
      </c>
      <c r="AG8" s="10">
        <f>(AA8+AF8)/2</f>
        <v>0.64360649720712948</v>
      </c>
      <c r="AH8" t="str">
        <f>CONCATENATE(D8,"|",B8,"|",C8,"|",E8,"|",ROUND(W8,2),"|",ROUND(X8,2),"|",ROUND(Y8,2),"|",ROUND(AB8,2),"|",ROUND(AC8,2),"|",ROUND(AD8,2),"|",ROUND(Z8,2),"|",ROUND(AE8,2),"|",ROUND(AA8*100,2),"%|",ROUND(AF8*100,2),"%|",ROUND(AG8*100,2),"%")</f>
        <v>Fuuma Kotarou|3|Assassin|QQQAB|5.4|11.88|0.54|7.78|2.58|0.79|28.62|26.7|45.44%|83.28%|64.36%</v>
      </c>
    </row>
    <row r="9" spans="1:34" x14ac:dyDescent="0.25">
      <c r="A9">
        <v>68</v>
      </c>
      <c r="B9">
        <v>5</v>
      </c>
      <c r="C9" t="s">
        <v>4</v>
      </c>
      <c r="D9" t="s">
        <v>48</v>
      </c>
      <c r="E9" t="s">
        <v>36</v>
      </c>
      <c r="F9" s="3">
        <v>2</v>
      </c>
      <c r="G9" s="3">
        <v>5</v>
      </c>
      <c r="H9" s="4">
        <v>1</v>
      </c>
      <c r="I9" s="4">
        <v>2</v>
      </c>
      <c r="J9" s="2">
        <v>2</v>
      </c>
      <c r="K9" s="2">
        <v>1</v>
      </c>
      <c r="L9" s="6">
        <v>1.0900000000000001</v>
      </c>
      <c r="M9" s="5">
        <v>10.199999999999999</v>
      </c>
      <c r="N9" s="3">
        <f>2+50/5</f>
        <v>12</v>
      </c>
      <c r="O9" s="4">
        <v>0</v>
      </c>
      <c r="P9" s="2">
        <v>0</v>
      </c>
      <c r="Q9" s="6">
        <v>0</v>
      </c>
      <c r="R9" s="5">
        <v>0</v>
      </c>
      <c r="S9" s="6">
        <v>0</v>
      </c>
      <c r="T9" s="5">
        <v>0</v>
      </c>
      <c r="U9">
        <f>VLOOKUP(C9,classOrder,2,FALSE)</f>
        <v>2</v>
      </c>
      <c r="V9" s="7">
        <f>F9+H9+J9</f>
        <v>5</v>
      </c>
      <c r="W9" s="12">
        <f>L9*(firstCardNpBonus+VLOOKUP($W$1, cardNpValue, 2, FALSE)*(1+(N9/100))*(1+(Q9/100)))*G9</f>
        <v>14.606000000000002</v>
      </c>
      <c r="X9" s="13">
        <f>L9*(firstCardNpBonus+VLOOKUP($X$1, cardNpValue, 2,FALSE)*(1+(O9/100))*(1+(Q9/100)))*I9</f>
        <v>11.99</v>
      </c>
      <c r="Y9" s="14">
        <f>L9*(firstCardNpBonus+VLOOKUP($Y$1, cardNpValue, 2,FALSE)*(1+(P9/100))*(1+(Q9/100)))*K9</f>
        <v>1.0900000000000001</v>
      </c>
      <c r="Z9" s="15">
        <f>F9*W9+H9*X9+J9*Y9+S9</f>
        <v>43.382000000000005</v>
      </c>
      <c r="AA9" s="8">
        <f>Z9/maxTotalNpGain</f>
        <v>0.68879919342125717</v>
      </c>
      <c r="AB9" s="12">
        <f>((M9/100)+firstCardStarBonus+VLOOKUP($AB$1, cardStarValue, 2, FALSE)*(1+(N9/100))+(R9/100))*G9</f>
        <v>8.7900000000000009</v>
      </c>
      <c r="AC9" s="13">
        <f>((M9/100)+firstCardStarBonus+VLOOKUP($AC$1, cardStarValue, 2,FALSE )*(1+(O9/100))+(R9/100))*I9</f>
        <v>0.60399999999999998</v>
      </c>
      <c r="AD9" s="14">
        <f>((M9/100)+firstCardStarBonus+VLOOKUP($AD$1, cardStarValue, 2, FALSE)*(1+(P9/100))+(R9/100))*K9</f>
        <v>0.45199999999999996</v>
      </c>
      <c r="AE9" s="11">
        <f>AB9*F9+AC9*H9+AD9*J9+T9</f>
        <v>19.088000000000001</v>
      </c>
      <c r="AF9" s="9">
        <f>AE9/maxTotalStarGen</f>
        <v>0.59529081553095287</v>
      </c>
      <c r="AG9" s="10">
        <f>(AA9+AF9)/2</f>
        <v>0.64204500447610502</v>
      </c>
      <c r="AH9" t="str">
        <f>CONCATENATE(D9,"|",B9,"|",C9,"|",E9,"|",ROUND(W9,2),"|",ROUND(X9,2),"|",ROUND(Y9,2),"|",ROUND(AB9,2),"|",ROUND(AC9,2),"|",ROUND(AD9,2),"|",ROUND(Z9,2),"|",ROUND(AE9,2),"|",ROUND(AA9*100,2),"%|",ROUND(AF9*100,2),"%|",ROUND(AG9*100,2),"%")</f>
        <v>Okita Souji|5|Saber|QQABB|14.61|11.99|1.09|8.79|0.6|0.45|43.38|19.09|68.88%|59.53%|64.2%</v>
      </c>
    </row>
    <row r="10" spans="1:34" x14ac:dyDescent="0.25">
      <c r="A10">
        <v>128</v>
      </c>
      <c r="B10">
        <v>5</v>
      </c>
      <c r="C10" t="s">
        <v>91</v>
      </c>
      <c r="D10" t="s">
        <v>106</v>
      </c>
      <c r="E10" t="s">
        <v>36</v>
      </c>
      <c r="F10" s="3">
        <v>2</v>
      </c>
      <c r="G10" s="3">
        <v>4</v>
      </c>
      <c r="H10" s="4">
        <v>1</v>
      </c>
      <c r="I10" s="4">
        <v>2</v>
      </c>
      <c r="J10" s="2">
        <v>2</v>
      </c>
      <c r="K10" s="2">
        <v>3</v>
      </c>
      <c r="L10" s="6">
        <v>1.05</v>
      </c>
      <c r="M10" s="5">
        <v>12.2</v>
      </c>
      <c r="N10" s="3">
        <v>10</v>
      </c>
      <c r="O10" s="4">
        <v>10</v>
      </c>
      <c r="P10" s="2">
        <v>0</v>
      </c>
      <c r="Q10" s="6">
        <f>50/6</f>
        <v>8.3333333333333339</v>
      </c>
      <c r="R10" s="5">
        <f>50/6</f>
        <v>8.3333333333333339</v>
      </c>
      <c r="S10" s="6">
        <v>0</v>
      </c>
      <c r="T10" s="5">
        <v>0</v>
      </c>
      <c r="U10">
        <f>VLOOKUP(C10,classOrder,2,FALSE)</f>
        <v>4</v>
      </c>
      <c r="V10" s="7">
        <f>F10+H10+J10</f>
        <v>5</v>
      </c>
      <c r="W10" s="12">
        <f>L10*(firstCardNpBonus+VLOOKUP($W$1, cardNpValue, 2, FALSE)*(1+(N10/100))*(1+(Q10/100)))*G10</f>
        <v>11.707500000000001</v>
      </c>
      <c r="X10" s="13">
        <f>L10*(firstCardNpBonus+VLOOKUP($X$1, cardNpValue, 2,FALSE)*(1+(O10/100))*(1+(Q10/100)))*I10</f>
        <v>13.36125</v>
      </c>
      <c r="Y10" s="14">
        <f>L10*(firstCardNpBonus+VLOOKUP($Y$1, cardNpValue, 2,FALSE)*(1+(P10/100))*(1+(Q10/100)))*K10</f>
        <v>3.1500000000000004</v>
      </c>
      <c r="Z10" s="15">
        <f>F10*W10+H10*X10+J10*Y10+S10</f>
        <v>43.076250000000002</v>
      </c>
      <c r="AA10" s="8">
        <f>Z10/maxTotalNpGain</f>
        <v>0.68394463730608146</v>
      </c>
      <c r="AB10" s="12">
        <f>((M10/100)+firstCardStarBonus+VLOOKUP($AB$1, cardStarValue, 2, FALSE)*(1+(N10/100))+(R10/100))*G10</f>
        <v>7.3413333333333339</v>
      </c>
      <c r="AC10" s="13">
        <f>((M10/100)+firstCardStarBonus+VLOOKUP($AC$1, cardStarValue, 2,FALSE )*(1+(O10/100))+(R10/100))*I10</f>
        <v>0.81066666666666665</v>
      </c>
      <c r="AD10" s="14">
        <f>((M10/100)+firstCardStarBonus+VLOOKUP($AD$1, cardStarValue, 2, FALSE)*(1+(P10/100))+(R10/100))*K10</f>
        <v>1.6659999999999999</v>
      </c>
      <c r="AE10" s="11">
        <f>AB10*F10+AC10*H10+AD10*J10+T10</f>
        <v>18.825333333333333</v>
      </c>
      <c r="AF10" s="9">
        <f>AE10/maxTotalStarGen</f>
        <v>0.58709912157596555</v>
      </c>
      <c r="AG10" s="10">
        <f>(AA10+AF10)/2</f>
        <v>0.63552187944102356</v>
      </c>
      <c r="AH10" t="str">
        <f>CONCATENATE(D10,"|",B10,"|",C10,"|",E10,"|",ROUND(W10,2),"|",ROUND(X10,2),"|",ROUND(Y10,2),"|",ROUND(AB10,2),"|",ROUND(AC10,2),"|",ROUND(AD10,2),"|",ROUND(Z10,2),"|",ROUND(AE10,2),"|",ROUND(AA10*100,2),"%|",ROUND(AF10*100,2),"%|",ROUND(AG10*100,2),"%")</f>
        <v>Tamamo no Mae (Lancer)|5|Lancer|QQABB|11.71|13.36|3.15|7.34|0.81|1.67|43.08|18.83|68.39%|58.71%|63.55%</v>
      </c>
    </row>
    <row r="11" spans="1:34" x14ac:dyDescent="0.25">
      <c r="A11">
        <v>86</v>
      </c>
      <c r="B11">
        <v>5</v>
      </c>
      <c r="C11" t="s">
        <v>164</v>
      </c>
      <c r="D11" t="s">
        <v>174</v>
      </c>
      <c r="E11" t="s">
        <v>67</v>
      </c>
      <c r="F11" s="3">
        <v>2</v>
      </c>
      <c r="G11" s="3">
        <v>4</v>
      </c>
      <c r="H11" s="4">
        <v>2</v>
      </c>
      <c r="I11" s="4">
        <v>2</v>
      </c>
      <c r="J11" s="2">
        <v>1</v>
      </c>
      <c r="K11" s="2">
        <v>1</v>
      </c>
      <c r="L11" s="6">
        <v>0.81</v>
      </c>
      <c r="M11" s="5">
        <v>25.6</v>
      </c>
      <c r="N11" s="3">
        <v>12</v>
      </c>
      <c r="O11" s="4">
        <v>0</v>
      </c>
      <c r="P11" s="2">
        <v>0</v>
      </c>
      <c r="Q11" s="6">
        <v>0</v>
      </c>
      <c r="R11" s="5">
        <v>10</v>
      </c>
      <c r="S11" s="6">
        <v>0</v>
      </c>
      <c r="T11" s="5">
        <f>14/5</f>
        <v>2.8</v>
      </c>
      <c r="U11">
        <f>VLOOKUP(C11,classOrder,2,FALSE)</f>
        <v>7</v>
      </c>
      <c r="V11" s="7">
        <f>F11+H11+J11</f>
        <v>5</v>
      </c>
      <c r="W11" s="12">
        <f>L11*(firstCardNpBonus+VLOOKUP($W$1, cardNpValue, 2, FALSE)*(1+(N11/100))*(1+(Q11/100)))*G11</f>
        <v>8.6832000000000011</v>
      </c>
      <c r="X11" s="13">
        <f>L11*(firstCardNpBonus+VLOOKUP($X$1, cardNpValue, 2,FALSE)*(1+(O11/100))*(1+(Q11/100)))*I11</f>
        <v>8.91</v>
      </c>
      <c r="Y11" s="14">
        <f>L11*(firstCardNpBonus+VLOOKUP($Y$1, cardNpValue, 2,FALSE)*(1+(P11/100))*(1+(Q11/100)))*K11</f>
        <v>0.81</v>
      </c>
      <c r="Z11" s="15">
        <f>F11*W11+H11*X11+J11*Y11+S11</f>
        <v>35.996400000000008</v>
      </c>
      <c r="AA11" s="8">
        <f>Z11/maxTotalNpGain</f>
        <v>0.5715340760239026</v>
      </c>
      <c r="AB11" s="12">
        <f>((M11/100)+firstCardStarBonus+VLOOKUP($AB$1, cardStarValue, 2, FALSE)*(1+(N11/100))+(R11/100))*G11</f>
        <v>8.048</v>
      </c>
      <c r="AC11" s="13">
        <f>((M11/100)+firstCardStarBonus+VLOOKUP($AC$1, cardStarValue, 2,FALSE )*(1+(O11/100))+(R11/100))*I11</f>
        <v>1.1120000000000001</v>
      </c>
      <c r="AD11" s="14">
        <f>((M11/100)+firstCardStarBonus+VLOOKUP($AD$1, cardStarValue, 2, FALSE)*(1+(P11/100))+(R11/100))*K11</f>
        <v>0.70599999999999996</v>
      </c>
      <c r="AE11" s="11">
        <f>AB11*F11+AC11*H11+AD11*J11+T11</f>
        <v>21.826000000000001</v>
      </c>
      <c r="AF11" s="9">
        <f>AE11/maxTotalStarGen</f>
        <v>0.68067986901606115</v>
      </c>
      <c r="AG11" s="10">
        <f>(AA11+AF11)/2</f>
        <v>0.62610697251998193</v>
      </c>
      <c r="AH11" t="str">
        <f>CONCATENATE(D11,"|",B11,"|",C11,"|",E11,"|",ROUND(W11,2),"|",ROUND(X11,2),"|",ROUND(Y11,2),"|",ROUND(AB11,2),"|",ROUND(AC11,2),"|",ROUND(AD11,2),"|",ROUND(Z11,2),"|",ROUND(AE11,2),"|",ROUND(AA11*100,2),"%|",ROUND(AF11*100,2),"%|",ROUND(AG11*100,2),"%")</f>
        <v>Mysterious Heroine X|5|Assassin|QQAAB|8.68|8.91|0.81|8.05|1.11|0.71|36|21.83|57.15%|68.07%|62.61%</v>
      </c>
    </row>
    <row r="12" spans="1:34" x14ac:dyDescent="0.25">
      <c r="A12">
        <v>41</v>
      </c>
      <c r="B12">
        <v>4</v>
      </c>
      <c r="C12" t="s">
        <v>164</v>
      </c>
      <c r="D12" t="s">
        <v>167</v>
      </c>
      <c r="E12" t="s">
        <v>111</v>
      </c>
      <c r="F12" s="3">
        <v>3</v>
      </c>
      <c r="G12" s="3">
        <v>2</v>
      </c>
      <c r="H12" s="4">
        <v>1</v>
      </c>
      <c r="I12" s="4">
        <v>1</v>
      </c>
      <c r="J12" s="2">
        <v>1</v>
      </c>
      <c r="K12" s="2">
        <v>1</v>
      </c>
      <c r="L12" s="6">
        <v>2.2599999999999998</v>
      </c>
      <c r="M12" s="5">
        <v>25</v>
      </c>
      <c r="N12" s="3">
        <v>0</v>
      </c>
      <c r="O12" s="4">
        <v>0</v>
      </c>
      <c r="P12" s="2">
        <v>0</v>
      </c>
      <c r="Q12" s="6">
        <v>0</v>
      </c>
      <c r="R12" s="5">
        <v>10.5</v>
      </c>
      <c r="S12" s="6">
        <f>27/6</f>
        <v>4.5</v>
      </c>
      <c r="T12" s="5">
        <v>0</v>
      </c>
      <c r="U12">
        <f>VLOOKUP(C12,classOrder,2,FALSE)</f>
        <v>7</v>
      </c>
      <c r="V12" s="7">
        <f>F12+H12+J12</f>
        <v>5</v>
      </c>
      <c r="W12" s="12">
        <f>L12*(firstCardNpBonus+VLOOKUP($W$1, cardNpValue, 2, FALSE)*(1+(N12/100))*(1+(Q12/100)))*G12</f>
        <v>11.299999999999999</v>
      </c>
      <c r="X12" s="13">
        <f>L12*(firstCardNpBonus+VLOOKUP($X$1, cardNpValue, 2,FALSE)*(1+(O12/100))*(1+(Q12/100)))*I12</f>
        <v>12.43</v>
      </c>
      <c r="Y12" s="14">
        <f>L12*(firstCardNpBonus+VLOOKUP($Y$1, cardNpValue, 2,FALSE)*(1+(P12/100))*(1+(Q12/100)))*K12</f>
        <v>2.2599999999999998</v>
      </c>
      <c r="Z12" s="15">
        <f>F12*W12+H12*X12+J12*Y12+S12</f>
        <v>53.089999999999996</v>
      </c>
      <c r="AA12" s="8">
        <f>Z12/maxTotalNpGain</f>
        <v>0.84293829649934382</v>
      </c>
      <c r="AB12" s="12">
        <f>((M12/100)+firstCardStarBonus+VLOOKUP($AB$1, cardStarValue, 2, FALSE)*(1+(N12/100))+(R12/100))*G12</f>
        <v>3.71</v>
      </c>
      <c r="AC12" s="13">
        <f>((M12/100)+firstCardStarBonus+VLOOKUP($AC$1, cardStarValue, 2,FALSE )*(1+(O12/100))+(R12/100))*I12</f>
        <v>0.55500000000000005</v>
      </c>
      <c r="AD12" s="14">
        <f>((M12/100)+firstCardStarBonus+VLOOKUP($AD$1, cardStarValue, 2, FALSE)*(1+(P12/100))+(R12/100))*K12</f>
        <v>0.70499999999999996</v>
      </c>
      <c r="AE12" s="11">
        <f>AB12*F12+AC12*H12+AD12*J12+T12</f>
        <v>12.389999999999999</v>
      </c>
      <c r="AF12" s="9">
        <f>AE12/maxTotalStarGen</f>
        <v>0.38640261967877748</v>
      </c>
      <c r="AG12" s="10">
        <f>(AA12+AF12)/2</f>
        <v>0.61467045808906062</v>
      </c>
      <c r="AH12" t="str">
        <f>CONCATENATE(D12,"|",B12,"|",C12,"|",E12,"|",ROUND(W12,2),"|",ROUND(X12,2),"|",ROUND(Y12,2),"|",ROUND(AB12,2),"|",ROUND(AC12,2),"|",ROUND(AD12,2),"|",ROUND(Z12,2),"|",ROUND(AE12,2),"|",ROUND(AA12*100,2),"%|",ROUND(AF12*100,2),"%|",ROUND(AG12*100,2),"%")</f>
        <v>Stheno|4|Assassin|QQQAB|11.3|12.43|2.26|3.71|0.56|0.71|53.09|12.39|84.29%|38.64%|61.47%</v>
      </c>
    </row>
    <row r="13" spans="1:34" x14ac:dyDescent="0.25">
      <c r="A13">
        <v>67</v>
      </c>
      <c r="B13">
        <v>4</v>
      </c>
      <c r="C13" t="s">
        <v>133</v>
      </c>
      <c r="D13" t="s">
        <v>144</v>
      </c>
      <c r="E13" t="s">
        <v>64</v>
      </c>
      <c r="F13" s="3">
        <v>1</v>
      </c>
      <c r="G13" s="3">
        <v>4</v>
      </c>
      <c r="H13" s="4">
        <v>3</v>
      </c>
      <c r="I13" s="4">
        <v>4</v>
      </c>
      <c r="J13" s="2">
        <v>1</v>
      </c>
      <c r="K13" s="2">
        <v>3</v>
      </c>
      <c r="L13" s="6">
        <v>0.4</v>
      </c>
      <c r="M13" s="5">
        <v>10.7</v>
      </c>
      <c r="N13" s="3">
        <v>0</v>
      </c>
      <c r="O13" s="4">
        <v>8</v>
      </c>
      <c r="P13" s="2">
        <v>0</v>
      </c>
      <c r="Q13" s="6">
        <v>0</v>
      </c>
      <c r="R13" s="5">
        <v>0</v>
      </c>
      <c r="S13" s="6">
        <f>150/7</f>
        <v>21.428571428571427</v>
      </c>
      <c r="T13" s="5">
        <v>0</v>
      </c>
      <c r="U13">
        <f>VLOOKUP(C13,classOrder,2,FALSE)</f>
        <v>6</v>
      </c>
      <c r="V13" s="7">
        <f>F13+H13+J13</f>
        <v>5</v>
      </c>
      <c r="W13" s="12">
        <f>L13*(firstCardNpBonus+VLOOKUP($W$1, cardNpValue, 2, FALSE)*(1+(N13/100))*(1+(Q13/100)))*G13</f>
        <v>4</v>
      </c>
      <c r="X13" s="13">
        <f>L13*(firstCardNpBonus+VLOOKUP($X$1, cardNpValue, 2,FALSE)*(1+(O13/100))*(1+(Q13/100)))*I13</f>
        <v>9.3760000000000012</v>
      </c>
      <c r="Y13" s="14">
        <f>L13*(firstCardNpBonus+VLOOKUP($Y$1, cardNpValue, 2,FALSE)*(1+(P13/100))*(1+(Q13/100)))*K13</f>
        <v>1.2000000000000002</v>
      </c>
      <c r="Z13" s="15">
        <f>F13*W13+H13*X13+J13*Y13+S13</f>
        <v>54.756571428571434</v>
      </c>
      <c r="AA13" s="8">
        <f>Z13/maxTotalNpGain</f>
        <v>0.86939934153597009</v>
      </c>
      <c r="AB13" s="12">
        <f>((M13/100)+firstCardStarBonus+VLOOKUP($AB$1, cardStarValue, 2, FALSE)*(1+(N13/100))+(R13/100))*G13</f>
        <v>6.4279999999999999</v>
      </c>
      <c r="AC13" s="13">
        <f>((M13/100)+firstCardStarBonus+VLOOKUP($AC$1, cardStarValue, 2,FALSE )*(1+(O13/100))+(R13/100))*I13</f>
        <v>1.228</v>
      </c>
      <c r="AD13" s="14">
        <f>((M13/100)+firstCardStarBonus+VLOOKUP($AD$1, cardStarValue, 2, FALSE)*(1+(P13/100))+(R13/100))*K13</f>
        <v>1.371</v>
      </c>
      <c r="AE13" s="11">
        <f>AB13*F13+AC13*H13+AD13*J13+T13</f>
        <v>11.483000000000001</v>
      </c>
      <c r="AF13" s="9">
        <f>AE13/maxTotalStarGen</f>
        <v>0.35811632621238115</v>
      </c>
      <c r="AG13" s="10">
        <f>(AA13+AF13)/2</f>
        <v>0.6137578338741756</v>
      </c>
      <c r="AH13" t="str">
        <f>CONCATENATE(D13,"|",B13,"|",C13,"|",E13,"|",ROUND(W13,2),"|",ROUND(X13,2),"|",ROUND(Y13,2),"|",ROUND(AB13,2),"|",ROUND(AC13,2),"|",ROUND(AD13,2),"|",ROUND(Z13,2),"|",ROUND(AE13,2),"|",ROUND(AA13*100,2),"%|",ROUND(AF13*100,2),"%|",ROUND(AG13*100,2),"%")</f>
        <v>Medea (Lily)|4|Caster|QAAAB|4|9.38|1.2|6.43|1.23|1.37|54.76|11.48|86.94%|35.81%|61.38%</v>
      </c>
    </row>
    <row r="14" spans="1:34" x14ac:dyDescent="0.25">
      <c r="A14">
        <v>121</v>
      </c>
      <c r="B14">
        <v>4</v>
      </c>
      <c r="C14" t="s">
        <v>4</v>
      </c>
      <c r="D14" t="s">
        <v>55</v>
      </c>
      <c r="E14" t="s">
        <v>6</v>
      </c>
      <c r="F14" s="3">
        <v>1</v>
      </c>
      <c r="G14" s="3">
        <v>3</v>
      </c>
      <c r="H14" s="4">
        <v>2</v>
      </c>
      <c r="I14" s="4">
        <v>2</v>
      </c>
      <c r="J14" s="2">
        <v>2</v>
      </c>
      <c r="K14" s="2">
        <v>4</v>
      </c>
      <c r="L14" s="6">
        <v>0.83</v>
      </c>
      <c r="M14" s="5">
        <v>10</v>
      </c>
      <c r="N14" s="3">
        <v>8</v>
      </c>
      <c r="O14" s="4">
        <v>0</v>
      </c>
      <c r="P14" s="2">
        <v>0</v>
      </c>
      <c r="Q14" s="6">
        <v>0</v>
      </c>
      <c r="R14" s="5">
        <v>0</v>
      </c>
      <c r="S14" s="6">
        <f>30/6</f>
        <v>5</v>
      </c>
      <c r="T14" s="5">
        <f>20/6+15*3/6</f>
        <v>10.833333333333334</v>
      </c>
      <c r="U14">
        <f>VLOOKUP(C14,classOrder,2,FALSE)</f>
        <v>2</v>
      </c>
      <c r="V14" s="7">
        <f>F14+H14+J14</f>
        <v>5</v>
      </c>
      <c r="W14" s="12">
        <f>L14*(firstCardNpBonus+VLOOKUP($W$1, cardNpValue, 2, FALSE)*(1+(N14/100))*(1+(Q14/100)))*G14</f>
        <v>6.5237999999999996</v>
      </c>
      <c r="X14" s="13">
        <f>L14*(firstCardNpBonus+VLOOKUP($X$1, cardNpValue, 2,FALSE)*(1+(O14/100))*(1+(Q14/100)))*I14</f>
        <v>9.129999999999999</v>
      </c>
      <c r="Y14" s="14">
        <f>L14*(firstCardNpBonus+VLOOKUP($Y$1, cardNpValue, 2,FALSE)*(1+(P14/100))*(1+(Q14/100)))*K14</f>
        <v>3.32</v>
      </c>
      <c r="Z14" s="15">
        <f>F14*W14+H14*X14+J14*Y14+S14</f>
        <v>36.4238</v>
      </c>
      <c r="AA14" s="8">
        <f>Z14/maxTotalNpGain</f>
        <v>0.57832013418784711</v>
      </c>
      <c r="AB14" s="12">
        <f>((M14/100)+firstCardStarBonus+VLOOKUP($AB$1, cardStarValue, 2, FALSE)*(1+(N14/100))+(R14/100))*G14</f>
        <v>5.1120000000000001</v>
      </c>
      <c r="AC14" s="13">
        <f>((M14/100)+firstCardStarBonus+VLOOKUP($AC$1, cardStarValue, 2,FALSE )*(1+(O14/100))+(R14/100))*I14</f>
        <v>0.60000000000000009</v>
      </c>
      <c r="AD14" s="14">
        <f>((M14/100)+firstCardStarBonus+VLOOKUP($AD$1, cardStarValue, 2, FALSE)*(1+(P14/100))+(R14/100))*K14</f>
        <v>1.8000000000000003</v>
      </c>
      <c r="AE14" s="11">
        <f>AB14*F14+AC14*H14+AD14*J14+T14</f>
        <v>20.745333333333335</v>
      </c>
      <c r="AF14" s="9">
        <f>AE14/maxTotalStarGen</f>
        <v>0.64697749363272528</v>
      </c>
      <c r="AG14" s="10">
        <f>(AA14+AF14)/2</f>
        <v>0.61264881391028614</v>
      </c>
      <c r="AH14" t="str">
        <f>CONCATENATE(D14,"|",B14,"|",C14,"|",E14,"|",ROUND(W14,2),"|",ROUND(X14,2),"|",ROUND(Y14,2),"|",ROUND(AB14,2),"|",ROUND(AC14,2),"|",ROUND(AD14,2),"|",ROUND(Z14,2),"|",ROUND(AE14,2),"|",ROUND(AA14*100,2),"%|",ROUND(AF14*100,2),"%|",ROUND(AG14*100,2),"%")</f>
        <v>Lancelot (Saber)|4|Saber|QAABB|6.52|9.13|3.32|5.11|0.6|1.8|36.42|20.75|57.83%|64.7%|61.26%</v>
      </c>
    </row>
    <row r="15" spans="1:34" x14ac:dyDescent="0.25">
      <c r="A15">
        <v>159</v>
      </c>
      <c r="B15">
        <v>4</v>
      </c>
      <c r="C15" t="s">
        <v>164</v>
      </c>
      <c r="D15" t="s">
        <v>184</v>
      </c>
      <c r="E15" t="s">
        <v>111</v>
      </c>
      <c r="F15" s="3">
        <v>3</v>
      </c>
      <c r="G15" s="3">
        <v>3</v>
      </c>
      <c r="H15" s="4">
        <v>1</v>
      </c>
      <c r="I15" s="4">
        <v>3</v>
      </c>
      <c r="J15" s="2">
        <v>1</v>
      </c>
      <c r="K15" s="2">
        <v>1</v>
      </c>
      <c r="L15" s="6">
        <v>0.71</v>
      </c>
      <c r="M15" s="5">
        <v>25.6</v>
      </c>
      <c r="N15" s="3">
        <v>0</v>
      </c>
      <c r="O15" s="4">
        <v>0</v>
      </c>
      <c r="P15" s="2">
        <v>0</v>
      </c>
      <c r="Q15" s="6">
        <f>30/5</f>
        <v>6</v>
      </c>
      <c r="R15" s="5">
        <f>6+29*3/5</f>
        <v>23.4</v>
      </c>
      <c r="S15" s="6">
        <v>0</v>
      </c>
      <c r="T15" s="5">
        <f>20/6</f>
        <v>3.3333333333333335</v>
      </c>
      <c r="U15">
        <f>VLOOKUP(C15,classOrder,2,FALSE)</f>
        <v>7</v>
      </c>
      <c r="V15" s="7">
        <f>F15+H15+J15</f>
        <v>5</v>
      </c>
      <c r="W15" s="12">
        <f>L15*(firstCardNpBonus+VLOOKUP($W$1, cardNpValue, 2, FALSE)*(1+(N15/100))*(1+(Q15/100)))*G15</f>
        <v>5.5166999999999993</v>
      </c>
      <c r="X15" s="13">
        <f>L15*(firstCardNpBonus+VLOOKUP($X$1, cardNpValue, 2,FALSE)*(1+(O15/100))*(1+(Q15/100)))*I15</f>
        <v>12.290100000000001</v>
      </c>
      <c r="Y15" s="14">
        <f>L15*(firstCardNpBonus+VLOOKUP($Y$1, cardNpValue, 2,FALSE)*(1+(P15/100))*(1+(Q15/100)))*K15</f>
        <v>0.71</v>
      </c>
      <c r="Z15" s="15">
        <f>F15*W15+H15*X15+J15*Y15+S15</f>
        <v>29.550199999999997</v>
      </c>
      <c r="AA15" s="8">
        <f>Z15/maxTotalNpGain</f>
        <v>0.46918431435703351</v>
      </c>
      <c r="AB15" s="12">
        <f>((M15/100)+firstCardStarBonus+VLOOKUP($AB$1, cardStarValue, 2, FALSE)*(1+(N15/100))+(R15/100))*G15</f>
        <v>5.97</v>
      </c>
      <c r="AC15" s="13">
        <f>((M15/100)+firstCardStarBonus+VLOOKUP($AC$1, cardStarValue, 2,FALSE )*(1+(O15/100))+(R15/100))*I15</f>
        <v>2.0699999999999998</v>
      </c>
      <c r="AD15" s="14">
        <f>((M15/100)+firstCardStarBonus+VLOOKUP($AD$1, cardStarValue, 2, FALSE)*(1+(P15/100))+(R15/100))*K15</f>
        <v>0.84</v>
      </c>
      <c r="AE15" s="11">
        <f>AB15*F15+AC15*H15+AD15*J15+T15</f>
        <v>24.153333333333332</v>
      </c>
      <c r="AF15" s="9">
        <f>AE15/maxTotalStarGen</f>
        <v>0.75326160403347375</v>
      </c>
      <c r="AG15" s="10">
        <f>(AA15+AF15)/2</f>
        <v>0.6112229591952536</v>
      </c>
      <c r="AH15" t="str">
        <f>CONCATENATE(D15,"|",B15,"|",C15,"|",E15,"|",ROUND(W15,2),"|",ROUND(X15,2),"|",ROUND(Y15,2),"|",ROUND(AB15,2),"|",ROUND(AC15,2),"|",ROUND(AD15,2),"|",ROUND(Z15,2),"|",ROUND(AE15,2),"|",ROUND(AA15*100,2),"%|",ROUND(AF15*100,2),"%|",ROUND(AG15*100,2),"%")</f>
        <v>Yan Qing|4|Assassin|QQQAB|5.52|12.29|0.71|5.97|2.07|0.84|29.55|24.15|46.92%|75.33%|61.12%</v>
      </c>
    </row>
    <row r="16" spans="1:34" x14ac:dyDescent="0.25">
      <c r="A16">
        <v>143</v>
      </c>
      <c r="B16">
        <v>5</v>
      </c>
      <c r="C16" t="s">
        <v>91</v>
      </c>
      <c r="D16" t="s">
        <v>110</v>
      </c>
      <c r="E16" t="s">
        <v>111</v>
      </c>
      <c r="F16" s="3">
        <v>3</v>
      </c>
      <c r="G16" s="3">
        <v>4</v>
      </c>
      <c r="H16" s="4">
        <v>1</v>
      </c>
      <c r="I16" s="4">
        <v>5</v>
      </c>
      <c r="J16" s="2">
        <v>1</v>
      </c>
      <c r="K16" s="2">
        <v>1</v>
      </c>
      <c r="L16" s="6">
        <v>0.53</v>
      </c>
      <c r="M16" s="5">
        <v>12</v>
      </c>
      <c r="N16" s="3">
        <f>25/5</f>
        <v>5</v>
      </c>
      <c r="O16" s="4">
        <f>25/5</f>
        <v>5</v>
      </c>
      <c r="P16" s="2">
        <f>50/5</f>
        <v>10</v>
      </c>
      <c r="Q16" s="6">
        <v>0</v>
      </c>
      <c r="R16" s="5">
        <v>0</v>
      </c>
      <c r="S16" s="6">
        <v>0</v>
      </c>
      <c r="T16" s="5">
        <v>0</v>
      </c>
      <c r="U16">
        <f>VLOOKUP(C16,classOrder,2,FALSE)</f>
        <v>4</v>
      </c>
      <c r="V16" s="7">
        <f>F16+H16+J16</f>
        <v>5</v>
      </c>
      <c r="W16" s="12">
        <f>L16*(firstCardNpBonus+VLOOKUP($W$1, cardNpValue, 2, FALSE)*(1+(N16/100))*(1+(Q16/100)))*G16</f>
        <v>5.4590000000000005</v>
      </c>
      <c r="X16" s="13">
        <f>L16*(firstCardNpBonus+VLOOKUP($X$1, cardNpValue, 2,FALSE)*(1+(O16/100))*(1+(Q16/100)))*I16</f>
        <v>15.171250000000002</v>
      </c>
      <c r="Y16" s="14">
        <f>L16*(firstCardNpBonus+VLOOKUP($Y$1, cardNpValue, 2,FALSE)*(1+(P16/100))*(1+(Q16/100)))*K16</f>
        <v>0.53</v>
      </c>
      <c r="Z16" s="15">
        <f>F16*W16+H16*X16+J16*Y16+S16</f>
        <v>32.078250000000004</v>
      </c>
      <c r="AA16" s="8">
        <f>Z16/maxTotalNpGain</f>
        <v>0.50932351496854555</v>
      </c>
      <c r="AB16" s="12">
        <f>((M16/100)+firstCardStarBonus+VLOOKUP($AB$1, cardStarValue, 2, FALSE)*(1+(N16/100))+(R16/100))*G16</f>
        <v>6.7400000000000011</v>
      </c>
      <c r="AC16" s="13">
        <f>((M16/100)+firstCardStarBonus+VLOOKUP($AC$1, cardStarValue, 2,FALSE )*(1+(O16/100))+(R16/100))*I16</f>
        <v>1.6</v>
      </c>
      <c r="AD16" s="14">
        <f>((M16/100)+firstCardStarBonus+VLOOKUP($AD$1, cardStarValue, 2, FALSE)*(1+(P16/100))+(R16/100))*K16</f>
        <v>0.48499999999999999</v>
      </c>
      <c r="AE16" s="11">
        <f>AB16*F16+AC16*H16+AD16*J16+T16</f>
        <v>22.305000000000003</v>
      </c>
      <c r="AF16" s="9">
        <f>AE16/maxTotalStarGen</f>
        <v>0.69561827537813836</v>
      </c>
      <c r="AG16" s="10">
        <f>(AA16+AF16)/2</f>
        <v>0.60247089517334196</v>
      </c>
      <c r="AH16" t="str">
        <f>CONCATENATE(D16,"|",B16,"|",C16,"|",E16,"|",ROUND(W16,2),"|",ROUND(X16,2),"|",ROUND(Y16,2),"|",ROUND(AB16,2),"|",ROUND(AC16,2),"|",ROUND(AD16,2),"|",ROUND(Z16,2),"|",ROUND(AE16,2),"|",ROUND(AA16*100,2),"%|",ROUND(AF16*100,2),"%|",ROUND(AG16*100,2),"%")</f>
        <v>Enkidu|5|Lancer|QQQAB|5.46|15.17|0.53|6.74|1.6|0.49|32.08|22.31|50.93%|69.56%|60.25%</v>
      </c>
    </row>
    <row r="17" spans="1:34" x14ac:dyDescent="0.25">
      <c r="A17">
        <v>145</v>
      </c>
      <c r="B17">
        <v>4</v>
      </c>
      <c r="C17" t="s">
        <v>133</v>
      </c>
      <c r="D17" t="s">
        <v>157</v>
      </c>
      <c r="E17" t="s">
        <v>64</v>
      </c>
      <c r="F17" s="3">
        <v>1</v>
      </c>
      <c r="G17" s="3">
        <v>2</v>
      </c>
      <c r="H17" s="4">
        <v>3</v>
      </c>
      <c r="I17" s="4">
        <v>5</v>
      </c>
      <c r="J17" s="2">
        <v>1</v>
      </c>
      <c r="K17" s="2">
        <v>6</v>
      </c>
      <c r="L17" s="6">
        <v>0.32</v>
      </c>
      <c r="M17" s="5">
        <v>10.9</v>
      </c>
      <c r="N17" s="3">
        <v>0</v>
      </c>
      <c r="O17" s="4">
        <f>10+30*3/6</f>
        <v>25</v>
      </c>
      <c r="P17" s="2">
        <v>0</v>
      </c>
      <c r="Q17" s="6">
        <v>0</v>
      </c>
      <c r="R17" s="5">
        <f>100*3/7</f>
        <v>42.857142857142854</v>
      </c>
      <c r="S17" s="6">
        <v>0</v>
      </c>
      <c r="T17" s="5">
        <v>0</v>
      </c>
      <c r="U17">
        <f>VLOOKUP(C17,classOrder,2,FALSE)</f>
        <v>6</v>
      </c>
      <c r="V17" s="7">
        <f>F17+H17+J17</f>
        <v>5</v>
      </c>
      <c r="W17" s="12">
        <f>L17*(firstCardNpBonus+VLOOKUP($W$1, cardNpValue, 2, FALSE)*(1+(N17/100))*(1+(Q17/100)))*G17</f>
        <v>1.6</v>
      </c>
      <c r="X17" s="13">
        <f>L17*(firstCardNpBonus+VLOOKUP($X$1, cardNpValue, 2,FALSE)*(1+(O17/100))*(1+(Q17/100)))*I17</f>
        <v>10.600000000000001</v>
      </c>
      <c r="Y17" s="14">
        <f>L17*(firstCardNpBonus+VLOOKUP($Y$1, cardNpValue, 2,FALSE)*(1+(P17/100))*(1+(Q17/100)))*K17</f>
        <v>1.92</v>
      </c>
      <c r="Z17" s="15">
        <f>F17*W17+H17*X17+J17*Y17+S17</f>
        <v>35.320000000000007</v>
      </c>
      <c r="AA17" s="8">
        <f>Z17/maxTotalNpGain</f>
        <v>0.56079451181685502</v>
      </c>
      <c r="AB17" s="12">
        <f>((M17/100)+firstCardStarBonus+VLOOKUP($AB$1, cardStarValue, 2, FALSE)*(1+(N17/100))+(R17/100))*G17</f>
        <v>4.0751428571428567</v>
      </c>
      <c r="AC17" s="13">
        <f>((M17/100)+firstCardStarBonus+VLOOKUP($AC$1, cardStarValue, 2,FALSE )*(1+(O17/100))+(R17/100))*I17</f>
        <v>3.6878571428571427</v>
      </c>
      <c r="AD17" s="14">
        <f>((M17/100)+firstCardStarBonus+VLOOKUP($AD$1, cardStarValue, 2, FALSE)*(1+(P17/100))+(R17/100))*K17</f>
        <v>5.3254285714285707</v>
      </c>
      <c r="AE17" s="11">
        <f>AB17*F17+AC17*H17+AD17*J17+T17</f>
        <v>20.464142857142857</v>
      </c>
      <c r="AF17" s="9">
        <f>AE17/maxTotalStarGen</f>
        <v>0.63820810407431339</v>
      </c>
      <c r="AG17" s="10">
        <f>(AA17+AF17)/2</f>
        <v>0.59950130794558421</v>
      </c>
      <c r="AH17" t="str">
        <f>CONCATENATE(D17,"|",B17,"|",C17,"|",E17,"|",ROUND(W17,2),"|",ROUND(X17,2),"|",ROUND(Y17,2),"|",ROUND(AB17,2),"|",ROUND(AC17,2),"|",ROUND(AD17,2),"|",ROUND(Z17,2),"|",ROUND(AE17,2),"|",ROUND(AA17*100,2),"%|",ROUND(AF17*100,2),"%|",ROUND(AG17*100,2),"%")</f>
        <v>Gilgamesh (Caster)|4|Caster|QAAAB|1.6|10.6|1.92|4.08|3.69|5.33|35.32|20.46|56.08%|63.82%|59.95%</v>
      </c>
    </row>
    <row r="18" spans="1:34" x14ac:dyDescent="0.25">
      <c r="A18">
        <v>92</v>
      </c>
      <c r="B18">
        <v>4</v>
      </c>
      <c r="C18" t="s">
        <v>164</v>
      </c>
      <c r="D18" t="s">
        <v>175</v>
      </c>
      <c r="E18" t="s">
        <v>67</v>
      </c>
      <c r="F18" s="3">
        <v>2</v>
      </c>
      <c r="G18" s="3">
        <v>4</v>
      </c>
      <c r="H18" s="4">
        <v>2</v>
      </c>
      <c r="I18" s="4">
        <v>2</v>
      </c>
      <c r="J18" s="2">
        <v>1</v>
      </c>
      <c r="K18" s="2">
        <v>1</v>
      </c>
      <c r="L18" s="6">
        <v>0.8</v>
      </c>
      <c r="M18" s="5">
        <v>25.6</v>
      </c>
      <c r="N18" s="3">
        <v>0</v>
      </c>
      <c r="O18" s="4">
        <f>50/5</f>
        <v>10</v>
      </c>
      <c r="P18" s="2">
        <v>0</v>
      </c>
      <c r="Q18" s="6">
        <v>0</v>
      </c>
      <c r="R18" s="5">
        <v>6</v>
      </c>
      <c r="S18" s="6">
        <f>30/6</f>
        <v>5</v>
      </c>
      <c r="T18" s="5">
        <v>0</v>
      </c>
      <c r="U18">
        <f>VLOOKUP(C18,classOrder,2,FALSE)</f>
        <v>7</v>
      </c>
      <c r="V18" s="7">
        <f>F18+H18+J18</f>
        <v>5</v>
      </c>
      <c r="W18" s="12">
        <f>L18*(firstCardNpBonus+VLOOKUP($W$1, cardNpValue, 2, FALSE)*(1+(N18/100))*(1+(Q18/100)))*G18</f>
        <v>8</v>
      </c>
      <c r="X18" s="13">
        <f>L18*(firstCardNpBonus+VLOOKUP($X$1, cardNpValue, 2,FALSE)*(1+(O18/100))*(1+(Q18/100)))*I18</f>
        <v>9.5200000000000014</v>
      </c>
      <c r="Y18" s="14">
        <f>L18*(firstCardNpBonus+VLOOKUP($Y$1, cardNpValue, 2,FALSE)*(1+(P18/100))*(1+(Q18/100)))*K18</f>
        <v>0.8</v>
      </c>
      <c r="Z18" s="15">
        <f>F18*W18+H18*X18+J18*Y18+S18</f>
        <v>40.840000000000003</v>
      </c>
      <c r="AA18" s="8">
        <f>Z18/maxTotalNpGain</f>
        <v>0.64843850120612556</v>
      </c>
      <c r="AB18" s="12">
        <f>((M18/100)+firstCardStarBonus+VLOOKUP($AB$1, cardStarValue, 2, FALSE)*(1+(N18/100))+(R18/100))*G18</f>
        <v>7.2640000000000002</v>
      </c>
      <c r="AC18" s="13">
        <f>((M18/100)+firstCardStarBonus+VLOOKUP($AC$1, cardStarValue, 2,FALSE )*(1+(O18/100))+(R18/100))*I18</f>
        <v>1.032</v>
      </c>
      <c r="AD18" s="14">
        <f>((M18/100)+firstCardStarBonus+VLOOKUP($AD$1, cardStarValue, 2, FALSE)*(1+(P18/100))+(R18/100))*K18</f>
        <v>0.66599999999999993</v>
      </c>
      <c r="AE18" s="11">
        <f>AB18*F18+AC18*H18+AD18*J18+T18</f>
        <v>17.257999999999999</v>
      </c>
      <c r="AF18" s="9">
        <f>AE18/maxTotalStarGen</f>
        <v>0.53821924216435368</v>
      </c>
      <c r="AG18" s="10">
        <f>(AA18+AF18)/2</f>
        <v>0.59332887168523962</v>
      </c>
      <c r="AH18" t="str">
        <f>CONCATENATE(D18,"|",B18,"|",C18,"|",E18,"|",ROUND(W18,2),"|",ROUND(X18,2),"|",ROUND(Y18,2),"|",ROUND(AB18,2),"|",ROUND(AC18,2),"|",ROUND(AD18,2),"|",ROUND(Z18,2),"|",ROUND(AE18,2),"|",ROUND(AA18*100,2),"%|",ROUND(AF18*100,2),"%|",ROUND(AG18*100,2),"%")</f>
        <v>Ryougi Shiki (Assassin)|4|Assassin|QQAAB|8|9.52|0.8|7.26|1.03|0.67|40.84|17.26|64.84%|53.82%|59.33%</v>
      </c>
    </row>
    <row r="19" spans="1:34" x14ac:dyDescent="0.25">
      <c r="A19">
        <v>122</v>
      </c>
      <c r="B19">
        <v>4</v>
      </c>
      <c r="C19" t="s">
        <v>63</v>
      </c>
      <c r="D19" t="s">
        <v>79</v>
      </c>
      <c r="E19" t="s">
        <v>67</v>
      </c>
      <c r="F19" s="3">
        <v>2</v>
      </c>
      <c r="G19" s="3">
        <v>4</v>
      </c>
      <c r="H19" s="4">
        <v>2</v>
      </c>
      <c r="I19" s="4">
        <v>3</v>
      </c>
      <c r="J19" s="2">
        <v>1</v>
      </c>
      <c r="K19" s="2">
        <v>5</v>
      </c>
      <c r="L19" s="6">
        <v>0.57999999999999996</v>
      </c>
      <c r="M19" s="5">
        <v>8.1</v>
      </c>
      <c r="N19" s="3">
        <v>0</v>
      </c>
      <c r="O19" s="4">
        <v>0</v>
      </c>
      <c r="P19" s="2">
        <v>0</v>
      </c>
      <c r="Q19" s="6">
        <v>0</v>
      </c>
      <c r="R19" s="5">
        <v>0</v>
      </c>
      <c r="S19" s="6">
        <f>50/6</f>
        <v>8.3333333333333339</v>
      </c>
      <c r="T19" s="5">
        <v>0</v>
      </c>
      <c r="U19">
        <f>VLOOKUP(C19,classOrder,2,FALSE)</f>
        <v>3</v>
      </c>
      <c r="V19" s="7">
        <f>F19+H19+J19</f>
        <v>5</v>
      </c>
      <c r="W19" s="12">
        <f>L19*(firstCardNpBonus+VLOOKUP($W$1, cardNpValue, 2, FALSE)*(1+(N19/100))*(1+(Q19/100)))*G19</f>
        <v>5.8</v>
      </c>
      <c r="X19" s="13">
        <f>L19*(firstCardNpBonus+VLOOKUP($X$1, cardNpValue, 2,FALSE)*(1+(O19/100))*(1+(Q19/100)))*I19</f>
        <v>9.57</v>
      </c>
      <c r="Y19" s="14">
        <f>L19*(firstCardNpBonus+VLOOKUP($Y$1, cardNpValue, 2,FALSE)*(1+(P19/100))*(1+(Q19/100)))*K19</f>
        <v>2.9</v>
      </c>
      <c r="Z19" s="15">
        <f>F19*W19+H19*X19+J19*Y19+S19</f>
        <v>41.973333333333336</v>
      </c>
      <c r="AA19" s="8">
        <f>Z19/maxTotalNpGain</f>
        <v>0.66643304009039617</v>
      </c>
      <c r="AB19" s="12">
        <f>((M19/100)+firstCardStarBonus+VLOOKUP($AB$1, cardStarValue, 2, FALSE)*(1+(N19/100))+(R19/100))*G19</f>
        <v>6.3239999999999998</v>
      </c>
      <c r="AC19" s="13">
        <f>((M19/100)+firstCardStarBonus+VLOOKUP($AC$1, cardStarValue, 2,FALSE )*(1+(O19/100))+(R19/100))*I19</f>
        <v>0.84300000000000008</v>
      </c>
      <c r="AD19" s="14">
        <f>((M19/100)+firstCardStarBonus+VLOOKUP($AD$1, cardStarValue, 2, FALSE)*(1+(P19/100))+(R19/100))*K19</f>
        <v>2.1550000000000002</v>
      </c>
      <c r="AE19" s="11">
        <f>AB19*F19+AC19*H19+AD19*J19+T19</f>
        <v>16.489000000000001</v>
      </c>
      <c r="AF19" s="9">
        <f>AE19/maxTotalStarGen</f>
        <v>0.51423670668953692</v>
      </c>
      <c r="AG19" s="10">
        <f>(AA19+AF19)/2</f>
        <v>0.59033487338996649</v>
      </c>
      <c r="AH19" t="str">
        <f>CONCATENATE(D19,"|",B19,"|",C19,"|",E19,"|",ROUND(W19,2),"|",ROUND(X19,2),"|",ROUND(Y19,2),"|",ROUND(AB19,2),"|",ROUND(AC19,2),"|",ROUND(AD19,2),"|",ROUND(Z19,2),"|",ROUND(AE19,2),"|",ROUND(AA19*100,2),"%|",ROUND(AF19*100,2),"%|",ROUND(AG19*100,2),"%")</f>
        <v>Tristan|4|Archer|QQAAB|5.8|9.57|2.9|6.32|0.84|2.16|41.97|16.49|66.64%|51.42%|59.03%</v>
      </c>
    </row>
    <row r="20" spans="1:34" x14ac:dyDescent="0.25">
      <c r="A20">
        <v>120</v>
      </c>
      <c r="B20">
        <v>4</v>
      </c>
      <c r="C20" t="s">
        <v>133</v>
      </c>
      <c r="D20" t="s">
        <v>153</v>
      </c>
      <c r="E20" t="s">
        <v>64</v>
      </c>
      <c r="F20" s="3">
        <v>1</v>
      </c>
      <c r="G20" s="3">
        <v>4</v>
      </c>
      <c r="H20" s="4">
        <v>3</v>
      </c>
      <c r="I20" s="4">
        <v>3</v>
      </c>
      <c r="J20" s="2">
        <v>1</v>
      </c>
      <c r="K20" s="2">
        <v>3</v>
      </c>
      <c r="L20" s="6">
        <v>0.54</v>
      </c>
      <c r="M20" s="5">
        <v>10.8</v>
      </c>
      <c r="N20" s="3">
        <v>0</v>
      </c>
      <c r="O20" s="4">
        <v>10</v>
      </c>
      <c r="P20" s="2">
        <v>0</v>
      </c>
      <c r="Q20" s="6">
        <v>0</v>
      </c>
      <c r="R20" s="5">
        <v>0</v>
      </c>
      <c r="S20" s="6">
        <f>120/7</f>
        <v>17.142857142857142</v>
      </c>
      <c r="T20" s="5">
        <v>0</v>
      </c>
      <c r="U20">
        <f>VLOOKUP(C20,classOrder,2,FALSE)</f>
        <v>6</v>
      </c>
      <c r="V20" s="7">
        <f>F20+H20+J20</f>
        <v>5</v>
      </c>
      <c r="W20" s="12">
        <f>L20*(firstCardNpBonus+VLOOKUP($W$1, cardNpValue, 2, FALSE)*(1+(N20/100))*(1+(Q20/100)))*G20</f>
        <v>5.4</v>
      </c>
      <c r="X20" s="13">
        <f>L20*(firstCardNpBonus+VLOOKUP($X$1, cardNpValue, 2,FALSE)*(1+(O20/100))*(1+(Q20/100)))*I20</f>
        <v>9.6390000000000011</v>
      </c>
      <c r="Y20" s="14">
        <f>L20*(firstCardNpBonus+VLOOKUP($Y$1, cardNpValue, 2,FALSE)*(1+(P20/100))*(1+(Q20/100)))*K20</f>
        <v>1.62</v>
      </c>
      <c r="Z20" s="15">
        <f>F20*W20+H20*X20+J20*Y20+S20</f>
        <v>53.079857142857136</v>
      </c>
      <c r="AA20" s="8">
        <f>Z20/maxTotalNpGain</f>
        <v>0.84277725293706018</v>
      </c>
      <c r="AB20" s="12">
        <f>((M20/100)+firstCardStarBonus+VLOOKUP($AB$1, cardStarValue, 2, FALSE)*(1+(N20/100))+(R20/100))*G20</f>
        <v>6.4320000000000004</v>
      </c>
      <c r="AC20" s="13">
        <f>((M20/100)+firstCardStarBonus+VLOOKUP($AC$1, cardStarValue, 2,FALSE )*(1+(O20/100))+(R20/100))*I20</f>
        <v>0.92400000000000015</v>
      </c>
      <c r="AD20" s="14">
        <f>((M20/100)+firstCardStarBonus+VLOOKUP($AD$1, cardStarValue, 2, FALSE)*(1+(P20/100))+(R20/100))*K20</f>
        <v>1.3740000000000001</v>
      </c>
      <c r="AE20" s="11">
        <f>AB20*F20+AC20*H20+AD20*J20+T20</f>
        <v>10.578000000000001</v>
      </c>
      <c r="AF20" s="9">
        <f>AE20/maxTotalStarGen</f>
        <v>0.32989240605021058</v>
      </c>
      <c r="AG20" s="10">
        <f>(AA20+AF20)/2</f>
        <v>0.58633482949363536</v>
      </c>
      <c r="AH20" t="str">
        <f>CONCATENATE(D20,"|",B20,"|",C20,"|",E20,"|",ROUND(W20,2),"|",ROUND(X20,2),"|",ROUND(Y20,2),"|",ROUND(AB20,2),"|",ROUND(AC20,2),"|",ROUND(AD20,2),"|",ROUND(Z20,2),"|",ROUND(AE20,2),"|",ROUND(AA20*100,2),"%|",ROUND(AF20*100,2),"%|",ROUND(AG20*100,2),"%")</f>
        <v>Nitocris|4|Caster|QAAAB|5.4|9.64|1.62|6.43|0.92|1.37|53.08|10.58|84.28%|32.99%|58.63%</v>
      </c>
    </row>
    <row r="21" spans="1:34" x14ac:dyDescent="0.25">
      <c r="A21">
        <v>162</v>
      </c>
      <c r="B21">
        <v>4</v>
      </c>
      <c r="C21" t="s">
        <v>185</v>
      </c>
      <c r="D21" t="s">
        <v>208</v>
      </c>
      <c r="E21" t="s">
        <v>50</v>
      </c>
      <c r="F21" s="3">
        <v>1</v>
      </c>
      <c r="G21" s="3">
        <v>3</v>
      </c>
      <c r="H21" s="4">
        <v>1</v>
      </c>
      <c r="I21" s="4">
        <v>2</v>
      </c>
      <c r="J21" s="2">
        <v>3</v>
      </c>
      <c r="K21" s="2">
        <v>5</v>
      </c>
      <c r="L21" s="6">
        <v>1.03</v>
      </c>
      <c r="M21" s="5">
        <v>4.9000000000000004</v>
      </c>
      <c r="N21" s="3">
        <v>0</v>
      </c>
      <c r="O21" s="4">
        <v>0</v>
      </c>
      <c r="P21" s="2">
        <v>3</v>
      </c>
      <c r="Q21" s="6">
        <v>0</v>
      </c>
      <c r="R21" s="5">
        <v>0</v>
      </c>
      <c r="S21" s="6">
        <f>10*3/6</f>
        <v>5</v>
      </c>
      <c r="T21" s="5">
        <f>10*3/5</f>
        <v>6</v>
      </c>
      <c r="U21">
        <f>VLOOKUP(C21,classOrder,2,FALSE)</f>
        <v>8</v>
      </c>
      <c r="V21" s="7">
        <f>F21+H21+J21</f>
        <v>5</v>
      </c>
      <c r="W21" s="12">
        <f>L21*(firstCardNpBonus+VLOOKUP($W$1, cardNpValue, 2, FALSE)*(1+(N21/100))*(1+(Q21/100)))*G21</f>
        <v>7.7250000000000005</v>
      </c>
      <c r="X21" s="13">
        <f>L21*(firstCardNpBonus+VLOOKUP($X$1, cardNpValue, 2,FALSE)*(1+(O21/100))*(1+(Q21/100)))*I21</f>
        <v>11.33</v>
      </c>
      <c r="Y21" s="14">
        <f>L21*(firstCardNpBonus+VLOOKUP($Y$1, cardNpValue, 2,FALSE)*(1+(P21/100))*(1+(Q21/100)))*K21</f>
        <v>5.15</v>
      </c>
      <c r="Z21" s="15">
        <f>F21*W21+H21*X21+J21*Y21+S21</f>
        <v>39.505000000000003</v>
      </c>
      <c r="AA21" s="8">
        <f>Z21/maxTotalNpGain</f>
        <v>0.62724199290274218</v>
      </c>
      <c r="AB21" s="12">
        <f>((M21/100)+firstCardStarBonus+VLOOKUP($AB$1, cardStarValue, 2, FALSE)*(1+(N21/100))+(R21/100))*G21</f>
        <v>4.6470000000000002</v>
      </c>
      <c r="AC21" s="13">
        <f>((M21/100)+firstCardStarBonus+VLOOKUP($AC$1, cardStarValue, 2,FALSE )*(1+(O21/100))+(R21/100))*I21</f>
        <v>0.498</v>
      </c>
      <c r="AD21" s="14">
        <f>((M21/100)+firstCardStarBonus+VLOOKUP($AD$1, cardStarValue, 2, FALSE)*(1+(P21/100))+(R21/100))*K21</f>
        <v>2.0175000000000001</v>
      </c>
      <c r="AE21" s="11">
        <f>AB21*F21+AC21*H21+AD21*J21+T21</f>
        <v>17.197500000000002</v>
      </c>
      <c r="AF21" s="9">
        <f>AE21/maxTotalStarGen</f>
        <v>0.53633244971152361</v>
      </c>
      <c r="AG21" s="10">
        <f>(AA21+AF21)/2</f>
        <v>0.5817872213071329</v>
      </c>
      <c r="AH21" t="str">
        <f>CONCATENATE(D21,"|",B21,"|",C21,"|",E21,"|",ROUND(W21,2),"|",ROUND(X21,2),"|",ROUND(Y21,2),"|",ROUND(AB21,2),"|",ROUND(AC21,2),"|",ROUND(AD21,2),"|",ROUND(Z21,2),"|",ROUND(AE21,2),"|",ROUND(AA21*100,2),"%|",ROUND(AF21*100,2),"%|",ROUND(AG21*100,2),"%")</f>
        <v>Chacha|4|Berserker|QABBB|7.73|11.33|5.15|4.65|0.5|2.02|39.51|17.2|62.72%|53.63%|58.18%</v>
      </c>
    </row>
    <row r="22" spans="1:34" x14ac:dyDescent="0.25">
      <c r="A22">
        <v>140</v>
      </c>
      <c r="B22">
        <v>4</v>
      </c>
      <c r="C22" t="s">
        <v>91</v>
      </c>
      <c r="D22" t="s">
        <v>108</v>
      </c>
      <c r="E22" t="s">
        <v>36</v>
      </c>
      <c r="F22" s="3">
        <v>2</v>
      </c>
      <c r="G22" s="3">
        <v>3</v>
      </c>
      <c r="H22" s="4">
        <v>1</v>
      </c>
      <c r="I22" s="4">
        <v>2</v>
      </c>
      <c r="J22" s="2">
        <v>2</v>
      </c>
      <c r="K22" s="2">
        <v>3</v>
      </c>
      <c r="L22" s="6">
        <v>1.1000000000000001</v>
      </c>
      <c r="M22" s="5">
        <v>11.6</v>
      </c>
      <c r="N22" s="3">
        <v>0</v>
      </c>
      <c r="O22" s="4">
        <v>0</v>
      </c>
      <c r="P22" s="2">
        <v>0</v>
      </c>
      <c r="Q22" s="6">
        <v>0</v>
      </c>
      <c r="R22" s="5">
        <v>0</v>
      </c>
      <c r="S22" s="6">
        <v>0</v>
      </c>
      <c r="T22" s="5">
        <f>10*3/5</f>
        <v>6</v>
      </c>
      <c r="U22">
        <f>VLOOKUP(C22,classOrder,2,FALSE)</f>
        <v>4</v>
      </c>
      <c r="V22" s="7">
        <f>F22+H22+J22</f>
        <v>5</v>
      </c>
      <c r="W22" s="12">
        <f>L22*(firstCardNpBonus+VLOOKUP($W$1, cardNpValue, 2, FALSE)*(1+(N22/100))*(1+(Q22/100)))*G22</f>
        <v>8.25</v>
      </c>
      <c r="X22" s="13">
        <f>L22*(firstCardNpBonus+VLOOKUP($X$1, cardNpValue, 2,FALSE)*(1+(O22/100))*(1+(Q22/100)))*I22</f>
        <v>12.100000000000001</v>
      </c>
      <c r="Y22" s="14">
        <f>L22*(firstCardNpBonus+VLOOKUP($Y$1, cardNpValue, 2,FALSE)*(1+(P22/100))*(1+(Q22/100)))*K22</f>
        <v>3.3000000000000003</v>
      </c>
      <c r="Z22" s="15">
        <f>F22*W22+H22*X22+J22*Y22+S22</f>
        <v>35.200000000000003</v>
      </c>
      <c r="AA22" s="8">
        <f>Z22/maxTotalNpGain</f>
        <v>0.55888920769969685</v>
      </c>
      <c r="AB22" s="12">
        <f>((M22/100)+firstCardStarBonus+VLOOKUP($AB$1, cardStarValue, 2, FALSE)*(1+(N22/100))+(R22/100))*G22</f>
        <v>4.8480000000000008</v>
      </c>
      <c r="AC22" s="13">
        <f>((M22/100)+firstCardStarBonus+VLOOKUP($AC$1, cardStarValue, 2,FALSE )*(1+(O22/100))+(R22/100))*I22</f>
        <v>0.63200000000000001</v>
      </c>
      <c r="AD22" s="14">
        <f>((M22/100)+firstCardStarBonus+VLOOKUP($AD$1, cardStarValue, 2, FALSE)*(1+(P22/100))+(R22/100))*K22</f>
        <v>1.3979999999999999</v>
      </c>
      <c r="AE22" s="11">
        <f>AB22*F22+AC22*H22+AD22*J22+T22</f>
        <v>19.124000000000002</v>
      </c>
      <c r="AF22" s="9">
        <f>AE22/maxTotalStarGen</f>
        <v>0.5964135350070171</v>
      </c>
      <c r="AG22" s="10">
        <f>(AA22+AF22)/2</f>
        <v>0.57765137135335698</v>
      </c>
      <c r="AH22" t="str">
        <f>CONCATENATE(D22,"|",B22,"|",C22,"|",E22,"|",ROUND(W22,2),"|",ROUND(X22,2),"|",ROUND(Y22,2),"|",ROUND(AB22,2),"|",ROUND(AC22,2),"|",ROUND(AD22,2),"|",ROUND(Z22,2),"|",ROUND(AE22,2),"|",ROUND(AA22*100,2),"%|",ROUND(AF22*100,2),"%|",ROUND(AG22*100,2),"%")</f>
        <v>Vlad III (EXTRA)|4|Lancer|QQABB|8.25|12.1|3.3|4.85|0.63|1.4|35.2|19.12|55.89%|59.64%|57.77%</v>
      </c>
    </row>
    <row r="23" spans="1:34" x14ac:dyDescent="0.25">
      <c r="A23">
        <v>31</v>
      </c>
      <c r="B23">
        <v>3</v>
      </c>
      <c r="C23" t="s">
        <v>133</v>
      </c>
      <c r="D23" t="s">
        <v>134</v>
      </c>
      <c r="E23" t="s">
        <v>64</v>
      </c>
      <c r="F23" s="3">
        <v>1</v>
      </c>
      <c r="G23" s="3">
        <v>2</v>
      </c>
      <c r="H23" s="4">
        <v>3</v>
      </c>
      <c r="I23" s="4">
        <v>1</v>
      </c>
      <c r="J23" s="2">
        <v>1</v>
      </c>
      <c r="K23" s="2">
        <v>1</v>
      </c>
      <c r="L23" s="6">
        <v>1.64</v>
      </c>
      <c r="M23" s="5">
        <v>10.9</v>
      </c>
      <c r="N23" s="3">
        <v>0</v>
      </c>
      <c r="O23" s="4">
        <v>10</v>
      </c>
      <c r="P23" s="2">
        <v>0</v>
      </c>
      <c r="Q23" s="6">
        <f>50/6</f>
        <v>8.3333333333333339</v>
      </c>
      <c r="R23" s="5">
        <v>0</v>
      </c>
      <c r="S23" s="6">
        <f>150/7</f>
        <v>21.428571428571427</v>
      </c>
      <c r="T23" s="5">
        <v>0</v>
      </c>
      <c r="U23">
        <f>VLOOKUP(C23,classOrder,2,FALSE)</f>
        <v>6</v>
      </c>
      <c r="V23" s="7">
        <f>F23+H23+J23</f>
        <v>5</v>
      </c>
      <c r="W23" s="12">
        <f>L23*(firstCardNpBonus+VLOOKUP($W$1, cardNpValue, 2, FALSE)*(1+(N23/100))*(1+(Q23/100)))*G23</f>
        <v>8.61</v>
      </c>
      <c r="X23" s="13">
        <f>L23*(firstCardNpBonus+VLOOKUP($X$1, cardNpValue, 2,FALSE)*(1+(O23/100))*(1+(Q23/100)))*I23</f>
        <v>10.4345</v>
      </c>
      <c r="Y23" s="14">
        <f>L23*(firstCardNpBonus+VLOOKUP($Y$1, cardNpValue, 2,FALSE)*(1+(P23/100))*(1+(Q23/100)))*K23</f>
        <v>1.64</v>
      </c>
      <c r="Z23" s="15">
        <f>F23*W23+H23*X23+J23*Y23+S23</f>
        <v>62.98207142857143</v>
      </c>
      <c r="AA23" s="8">
        <f>Z23/maxTotalNpGain</f>
        <v>1</v>
      </c>
      <c r="AB23" s="12">
        <f>((M23/100)+firstCardStarBonus+VLOOKUP($AB$1, cardStarValue, 2, FALSE)*(1+(N23/100))+(R23/100))*G23</f>
        <v>3.218</v>
      </c>
      <c r="AC23" s="13">
        <f>((M23/100)+firstCardStarBonus+VLOOKUP($AC$1, cardStarValue, 2,FALSE )*(1+(O23/100))+(R23/100))*I23</f>
        <v>0.309</v>
      </c>
      <c r="AD23" s="14">
        <f>((M23/100)+firstCardStarBonus+VLOOKUP($AD$1, cardStarValue, 2, FALSE)*(1+(P23/100))+(R23/100))*K23</f>
        <v>0.45899999999999996</v>
      </c>
      <c r="AE23" s="11">
        <f>AB23*F23+AC23*H23+AD23*J23+T23</f>
        <v>4.6039999999999992</v>
      </c>
      <c r="AF23" s="9">
        <f>AE23/maxTotalStarGen</f>
        <v>0.1435833463277717</v>
      </c>
      <c r="AG23" s="10">
        <f>(AA23+AF23)/2</f>
        <v>0.57179167316388591</v>
      </c>
      <c r="AH23" t="str">
        <f>CONCATENATE(D23,"|",B23,"|",C23,"|",E23,"|",ROUND(W23,2),"|",ROUND(X23,2),"|",ROUND(Y23,2),"|",ROUND(AB23,2),"|",ROUND(AC23,2),"|",ROUND(AD23,2),"|",ROUND(Z23,2),"|",ROUND(AE23,2),"|",ROUND(AA23*100,2),"%|",ROUND(AF23*100,2),"%|",ROUND(AG23*100,2),"%")</f>
        <v>Medea|3|Caster|QAAAB|8.61|10.43|1.64|3.22|0.31|0.46|62.98|4.6|100%|14.36%|57.18%</v>
      </c>
    </row>
    <row r="24" spans="1:34" x14ac:dyDescent="0.25">
      <c r="A24">
        <v>65</v>
      </c>
      <c r="B24">
        <v>5</v>
      </c>
      <c r="C24" t="s">
        <v>114</v>
      </c>
      <c r="D24" t="s">
        <v>123</v>
      </c>
      <c r="E24" t="s">
        <v>6</v>
      </c>
      <c r="F24" s="3">
        <v>1</v>
      </c>
      <c r="G24" s="3">
        <v>6</v>
      </c>
      <c r="H24" s="4">
        <v>2</v>
      </c>
      <c r="I24" s="4">
        <v>4</v>
      </c>
      <c r="J24" s="2">
        <v>2</v>
      </c>
      <c r="K24" s="2">
        <v>2</v>
      </c>
      <c r="L24" s="6">
        <v>0.42</v>
      </c>
      <c r="M24" s="5">
        <v>9</v>
      </c>
      <c r="N24" s="3">
        <v>8</v>
      </c>
      <c r="O24" s="4">
        <v>0</v>
      </c>
      <c r="P24" s="2">
        <v>0</v>
      </c>
      <c r="Q24" s="6">
        <f>45*3/6</f>
        <v>22.5</v>
      </c>
      <c r="R24" s="5">
        <v>0</v>
      </c>
      <c r="S24" s="6">
        <f>50/6</f>
        <v>8.3333333333333339</v>
      </c>
      <c r="T24" s="5">
        <f>10/6</f>
        <v>1.6666666666666667</v>
      </c>
      <c r="U24">
        <f>VLOOKUP(C24,classOrder,2,FALSE)</f>
        <v>5</v>
      </c>
      <c r="V24" s="7">
        <f>F24+H24+J24</f>
        <v>5</v>
      </c>
      <c r="W24" s="12">
        <f>L24*(firstCardNpBonus+VLOOKUP($W$1, cardNpValue, 2, FALSE)*(1+(N24/100))*(1+(Q24/100)))*G24</f>
        <v>7.5209400000000013</v>
      </c>
      <c r="X24" s="13">
        <f>L24*(firstCardNpBonus+VLOOKUP($X$1, cardNpValue, 2,FALSE)*(1+(O24/100))*(1+(Q24/100)))*I24</f>
        <v>10.941000000000001</v>
      </c>
      <c r="Y24" s="14">
        <f>L24*(firstCardNpBonus+VLOOKUP($Y$1, cardNpValue, 2,FALSE)*(1+(P24/100))*(1+(Q24/100)))*K24</f>
        <v>0.84</v>
      </c>
      <c r="Z24" s="15">
        <f>F24*W24+H24*X24+J24*Y24+S24</f>
        <v>39.416273333333336</v>
      </c>
      <c r="AA24" s="8">
        <f>Z24/maxTotalNpGain</f>
        <v>0.62583323220856124</v>
      </c>
      <c r="AB24" s="12">
        <f>((M24/100)+firstCardStarBonus+VLOOKUP($AB$1, cardStarValue, 2, FALSE)*(1+(N24/100))+(R24/100))*G24</f>
        <v>10.164000000000001</v>
      </c>
      <c r="AC24" s="13">
        <f>((M24/100)+firstCardStarBonus+VLOOKUP($AC$1, cardStarValue, 2,FALSE )*(1+(O24/100))+(R24/100))*I24</f>
        <v>1.1600000000000001</v>
      </c>
      <c r="AD24" s="14">
        <f>((M24/100)+firstCardStarBonus+VLOOKUP($AD$1, cardStarValue, 2, FALSE)*(1+(P24/100))+(R24/100))*K24</f>
        <v>0.88000000000000012</v>
      </c>
      <c r="AE24" s="11">
        <f>AB24*F24+AC24*H24+AD24*J24+T24</f>
        <v>15.910666666666668</v>
      </c>
      <c r="AF24" s="9">
        <f>AE24/maxTotalStarGen</f>
        <v>0.49620042621757893</v>
      </c>
      <c r="AG24" s="10">
        <f>(AA24+AF24)/2</f>
        <v>0.56101682921307006</v>
      </c>
      <c r="AH24" t="str">
        <f>CONCATENATE(D24,"|",B24,"|",C24,"|",E24,"|",ROUND(W24,2),"|",ROUND(X24,2),"|",ROUND(Y24,2),"|",ROUND(AB24,2),"|",ROUND(AC24,2),"|",ROUND(AD24,2),"|",ROUND(Z24,2),"|",ROUND(AE24,2),"|",ROUND(AA24*100,2),"%|",ROUND(AF24*100,2),"%|",ROUND(AG24*100,2),"%")</f>
        <v>Francis Drake|5|Rider|QAABB|7.52|10.94|0.84|10.16|1.16|0.88|39.42|15.91|62.58%|49.62%|56.1%</v>
      </c>
    </row>
    <row r="25" spans="1:34" x14ac:dyDescent="0.25">
      <c r="A25">
        <v>109</v>
      </c>
      <c r="B25">
        <v>4</v>
      </c>
      <c r="C25" t="s">
        <v>164</v>
      </c>
      <c r="D25" t="s">
        <v>176</v>
      </c>
      <c r="E25" t="s">
        <v>67</v>
      </c>
      <c r="F25" s="3">
        <v>2</v>
      </c>
      <c r="G25" s="3">
        <v>4</v>
      </c>
      <c r="H25" s="4">
        <v>2</v>
      </c>
      <c r="I25" s="4">
        <v>2</v>
      </c>
      <c r="J25" s="2">
        <v>1</v>
      </c>
      <c r="K25" s="2">
        <v>6</v>
      </c>
      <c r="L25" s="6">
        <v>0.46</v>
      </c>
      <c r="M25" s="5">
        <v>25.6</v>
      </c>
      <c r="N25" s="3">
        <v>0</v>
      </c>
      <c r="O25" s="4">
        <f>40/5</f>
        <v>8</v>
      </c>
      <c r="P25" s="2">
        <v>0</v>
      </c>
      <c r="Q25" s="6">
        <v>0</v>
      </c>
      <c r="R25" s="5">
        <v>10.5</v>
      </c>
      <c r="S25" s="6">
        <v>0</v>
      </c>
      <c r="T25" s="5">
        <f>15/5</f>
        <v>3</v>
      </c>
      <c r="U25">
        <f>VLOOKUP(C25,classOrder,2,FALSE)</f>
        <v>7</v>
      </c>
      <c r="V25" s="7">
        <f>F25+H25+J25</f>
        <v>5</v>
      </c>
      <c r="W25" s="12">
        <f>L25*(firstCardNpBonus+VLOOKUP($W$1, cardNpValue, 2, FALSE)*(1+(N25/100))*(1+(Q25/100)))*G25</f>
        <v>4.6000000000000005</v>
      </c>
      <c r="X25" s="13">
        <f>L25*(firstCardNpBonus+VLOOKUP($X$1, cardNpValue, 2,FALSE)*(1+(O25/100))*(1+(Q25/100)))*I25</f>
        <v>5.3912000000000004</v>
      </c>
      <c r="Y25" s="14">
        <f>L25*(firstCardNpBonus+VLOOKUP($Y$1, cardNpValue, 2,FALSE)*(1+(P25/100))*(1+(Q25/100)))*K25</f>
        <v>2.7600000000000002</v>
      </c>
      <c r="Z25" s="15">
        <f>F25*W25+H25*X25+J25*Y25+S25</f>
        <v>22.742400000000004</v>
      </c>
      <c r="AA25" s="8">
        <f>Z25/maxTotalNpGain</f>
        <v>0.36109323628379508</v>
      </c>
      <c r="AB25" s="12">
        <f>((M25/100)+firstCardStarBonus+VLOOKUP($AB$1, cardStarValue, 2, FALSE)*(1+(N25/100))+(R25/100))*G25</f>
        <v>7.444</v>
      </c>
      <c r="AC25" s="13">
        <f>((M25/100)+firstCardStarBonus+VLOOKUP($AC$1, cardStarValue, 2,FALSE )*(1+(O25/100))+(R25/100))*I25</f>
        <v>1.1220000000000001</v>
      </c>
      <c r="AD25" s="14">
        <f>((M25/100)+firstCardStarBonus+VLOOKUP($AD$1, cardStarValue, 2, FALSE)*(1+(P25/100))+(R25/100))*K25</f>
        <v>4.266</v>
      </c>
      <c r="AE25" s="11">
        <f>AB25*F25+AC25*H25+AD25*J25+T25</f>
        <v>24.398000000000003</v>
      </c>
      <c r="AF25" s="9">
        <f>AE25/maxTotalStarGen</f>
        <v>0.760891938250429</v>
      </c>
      <c r="AG25" s="10">
        <f>(AA25+AF25)/2</f>
        <v>0.56099258726711199</v>
      </c>
      <c r="AH25" t="str">
        <f>CONCATENATE(D25,"|",B25,"|",C25,"|",E25,"|",ROUND(W25,2),"|",ROUND(X25,2),"|",ROUND(Y25,2),"|",ROUND(AB25,2),"|",ROUND(AC25,2),"|",ROUND(AD25,2),"|",ROUND(Z25,2),"|",ROUND(AE25,2),"|",ROUND(AA25*100,2),"%|",ROUND(AF25*100,2),"%|",ROUND(AG25*100,2),"%")</f>
        <v>EMIYA (Assassin)|4|Assassin|QQAAB|4.6|5.39|2.76|7.44|1.12|4.27|22.74|24.4|36.11%|76.09%|56.1%</v>
      </c>
    </row>
    <row r="26" spans="1:34" x14ac:dyDescent="0.25">
      <c r="A26">
        <v>45</v>
      </c>
      <c r="B26">
        <v>1</v>
      </c>
      <c r="C26" t="s">
        <v>164</v>
      </c>
      <c r="D26" t="s">
        <v>171</v>
      </c>
      <c r="E26" t="s">
        <v>111</v>
      </c>
      <c r="F26" s="3">
        <v>3</v>
      </c>
      <c r="G26" s="3">
        <v>2</v>
      </c>
      <c r="H26" s="4">
        <v>1</v>
      </c>
      <c r="I26" s="4">
        <v>1</v>
      </c>
      <c r="J26" s="2">
        <v>1</v>
      </c>
      <c r="K26" s="2">
        <v>1</v>
      </c>
      <c r="L26" s="6">
        <v>2.1</v>
      </c>
      <c r="M26" s="5">
        <v>24.6</v>
      </c>
      <c r="N26" s="3">
        <v>0</v>
      </c>
      <c r="O26" s="4">
        <v>0</v>
      </c>
      <c r="P26" s="2">
        <v>0</v>
      </c>
      <c r="Q26" s="6">
        <v>0</v>
      </c>
      <c r="R26" s="5">
        <f>30*3/5</f>
        <v>18</v>
      </c>
      <c r="S26" s="6">
        <v>0</v>
      </c>
      <c r="T26" s="5">
        <v>0</v>
      </c>
      <c r="U26">
        <f>VLOOKUP(C26,classOrder,2,FALSE)</f>
        <v>7</v>
      </c>
      <c r="V26" s="7">
        <f>F26+H26+J26</f>
        <v>5</v>
      </c>
      <c r="W26" s="12">
        <f>L26*(firstCardNpBonus+VLOOKUP($W$1, cardNpValue, 2, FALSE)*(1+(N26/100))*(1+(Q26/100)))*G26</f>
        <v>10.5</v>
      </c>
      <c r="X26" s="13">
        <f>L26*(firstCardNpBonus+VLOOKUP($X$1, cardNpValue, 2,FALSE)*(1+(O26/100))*(1+(Q26/100)))*I26</f>
        <v>11.55</v>
      </c>
      <c r="Y26" s="14">
        <f>L26*(firstCardNpBonus+VLOOKUP($Y$1, cardNpValue, 2,FALSE)*(1+(P26/100))*(1+(Q26/100)))*K26</f>
        <v>2.1</v>
      </c>
      <c r="Z26" s="15">
        <f>F26*W26+H26*X26+J26*Y26+S26</f>
        <v>45.15</v>
      </c>
      <c r="AA26" s="8">
        <f>Z26/maxTotalNpGain</f>
        <v>0.71687067408071903</v>
      </c>
      <c r="AB26" s="12">
        <f>((M26/100)+firstCardStarBonus+VLOOKUP($AB$1, cardStarValue, 2, FALSE)*(1+(N26/100))+(R26/100))*G26</f>
        <v>3.8519999999999999</v>
      </c>
      <c r="AC26" s="13">
        <f>((M26/100)+firstCardStarBonus+VLOOKUP($AC$1, cardStarValue, 2,FALSE )*(1+(O26/100))+(R26/100))*I26</f>
        <v>0.62600000000000011</v>
      </c>
      <c r="AD26" s="14">
        <f>((M26/100)+firstCardStarBonus+VLOOKUP($AD$1, cardStarValue, 2, FALSE)*(1+(P26/100))+(R26/100))*K26</f>
        <v>0.77600000000000002</v>
      </c>
      <c r="AE26" s="11">
        <f>AB26*F26+AC26*H26+AD26*J26+T26</f>
        <v>12.957999999999998</v>
      </c>
      <c r="AF26" s="9">
        <f>AE26/maxTotalStarGen</f>
        <v>0.40411663807890219</v>
      </c>
      <c r="AG26" s="10">
        <f>(AA26+AF26)/2</f>
        <v>0.56049365607981061</v>
      </c>
      <c r="AH26" t="str">
        <f>CONCATENATE(D26,"|",B26,"|",C26,"|",E26,"|",ROUND(W26,2),"|",ROUND(X26,2),"|",ROUND(Y26,2),"|",ROUND(AB26,2),"|",ROUND(AC26,2),"|",ROUND(AD26,2),"|",ROUND(Z26,2),"|",ROUND(AE26,2),"|",ROUND(AA26*100,2),"%|",ROUND(AF26*100,2),"%|",ROUND(AG26*100,2),"%")</f>
        <v>Mata Hari|1|Assassin|QQQAB|10.5|11.55|2.1|3.85|0.63|0.78|45.15|12.96|71.69%|40.41%|56.05%</v>
      </c>
    </row>
    <row r="27" spans="1:34" x14ac:dyDescent="0.25">
      <c r="A27">
        <v>113</v>
      </c>
      <c r="B27">
        <v>5</v>
      </c>
      <c r="C27" t="s">
        <v>133</v>
      </c>
      <c r="D27" t="s">
        <v>152</v>
      </c>
      <c r="E27" t="s">
        <v>64</v>
      </c>
      <c r="F27" s="3">
        <v>1</v>
      </c>
      <c r="G27" s="3">
        <v>3</v>
      </c>
      <c r="H27" s="4">
        <v>3</v>
      </c>
      <c r="I27" s="4">
        <v>2</v>
      </c>
      <c r="J27" s="2">
        <v>1</v>
      </c>
      <c r="K27" s="2">
        <v>1</v>
      </c>
      <c r="L27" s="6">
        <v>0.82</v>
      </c>
      <c r="M27" s="5">
        <v>11</v>
      </c>
      <c r="N27" s="3">
        <v>0</v>
      </c>
      <c r="O27" s="4">
        <v>11</v>
      </c>
      <c r="P27" s="2">
        <v>0</v>
      </c>
      <c r="Q27" s="6">
        <f>30*3/5</f>
        <v>18</v>
      </c>
      <c r="R27" s="5">
        <f>30*3/5</f>
        <v>18</v>
      </c>
      <c r="S27" s="6">
        <f>80/7</f>
        <v>11.428571428571429</v>
      </c>
      <c r="T27" s="5">
        <v>0</v>
      </c>
      <c r="U27">
        <f>VLOOKUP(C27,classOrder,2,FALSE)</f>
        <v>6</v>
      </c>
      <c r="V27" s="7">
        <f>F27+H27+J27</f>
        <v>5</v>
      </c>
      <c r="W27" s="12">
        <f>L27*(firstCardNpBonus+VLOOKUP($W$1, cardNpValue, 2, FALSE)*(1+(N27/100))*(1+(Q27/100)))*G27</f>
        <v>6.8141999999999996</v>
      </c>
      <c r="X27" s="13">
        <f>L27*(firstCardNpBonus+VLOOKUP($X$1, cardNpValue, 2,FALSE)*(1+(O27/100))*(1+(Q27/100)))*I27</f>
        <v>11.306324</v>
      </c>
      <c r="Y27" s="14">
        <f>L27*(firstCardNpBonus+VLOOKUP($Y$1, cardNpValue, 2,FALSE)*(1+(P27/100))*(1+(Q27/100)))*K27</f>
        <v>0.82</v>
      </c>
      <c r="Z27" s="15">
        <f>F27*W27+H27*X27+J27*Y27+S27</f>
        <v>52.981743428571427</v>
      </c>
      <c r="AA27" s="8">
        <f>Z27/maxTotalNpGain</f>
        <v>0.84121944907224155</v>
      </c>
      <c r="AB27" s="12">
        <f>((M27/100)+firstCardStarBonus+VLOOKUP($AB$1, cardStarValue, 2, FALSE)*(1+(N27/100))+(R27/100))*G27</f>
        <v>5.37</v>
      </c>
      <c r="AC27" s="13">
        <f>((M27/100)+firstCardStarBonus+VLOOKUP($AC$1, cardStarValue, 2,FALSE )*(1+(O27/100))+(R27/100))*I27</f>
        <v>0.98</v>
      </c>
      <c r="AD27" s="14">
        <f>((M27/100)+firstCardStarBonus+VLOOKUP($AD$1, cardStarValue, 2, FALSE)*(1+(P27/100))+(R27/100))*K27</f>
        <v>0.6399999999999999</v>
      </c>
      <c r="AE27" s="11">
        <f>AB27*F27+AC27*H27+AD27*J27+T27</f>
        <v>8.9500000000000011</v>
      </c>
      <c r="AF27" s="9">
        <f>AE27/maxTotalStarGen</f>
        <v>0.2791205364104164</v>
      </c>
      <c r="AG27" s="10">
        <f>(AA27+AF27)/2</f>
        <v>0.56016999274132895</v>
      </c>
      <c r="AH27" t="str">
        <f>CONCATENATE(D27,"|",B27,"|",C27,"|",E27,"|",ROUND(W27,2),"|",ROUND(X27,2),"|",ROUND(Y27,2),"|",ROUND(AB27,2),"|",ROUND(AC27,2),"|",ROUND(AD27,2),"|",ROUND(Z27,2),"|",ROUND(AE27,2),"|",ROUND(AA27*100,2),"%|",ROUND(AF27*100,2),"%|",ROUND(AG27*100,2),"%")</f>
        <v>Xuanzang|5|Caster|QAAAB|6.81|11.31|0.82|5.37|0.98|0.64|52.98|8.95|84.12%|27.91%|56.02%</v>
      </c>
    </row>
    <row r="28" spans="1:34" x14ac:dyDescent="0.25">
      <c r="A28">
        <v>127</v>
      </c>
      <c r="B28">
        <v>5</v>
      </c>
      <c r="C28" t="s">
        <v>133</v>
      </c>
      <c r="D28" t="s">
        <v>154</v>
      </c>
      <c r="E28" t="s">
        <v>64</v>
      </c>
      <c r="F28" s="3">
        <v>1</v>
      </c>
      <c r="G28" s="3">
        <v>4</v>
      </c>
      <c r="H28" s="4">
        <v>3</v>
      </c>
      <c r="I28" s="4">
        <v>3</v>
      </c>
      <c r="J28" s="2">
        <v>1</v>
      </c>
      <c r="K28" s="2">
        <v>1</v>
      </c>
      <c r="L28" s="6">
        <v>0.54</v>
      </c>
      <c r="M28" s="5">
        <v>10.8</v>
      </c>
      <c r="N28" s="3">
        <v>0</v>
      </c>
      <c r="O28" s="4">
        <v>10</v>
      </c>
      <c r="P28" s="2">
        <v>0</v>
      </c>
      <c r="Q28" s="6">
        <v>0</v>
      </c>
      <c r="R28" s="5">
        <v>0</v>
      </c>
      <c r="S28" s="6">
        <f>10*3/6+50/6</f>
        <v>13.333333333333334</v>
      </c>
      <c r="T28" s="5">
        <f>10/6</f>
        <v>1.6666666666666667</v>
      </c>
      <c r="U28">
        <f>VLOOKUP(C28,classOrder,2,FALSE)</f>
        <v>6</v>
      </c>
      <c r="V28" s="7">
        <f>F28+H28+J28</f>
        <v>5</v>
      </c>
      <c r="W28" s="12">
        <f>L28*(firstCardNpBonus+VLOOKUP($W$1, cardNpValue, 2, FALSE)*(1+(N28/100))*(1+(Q28/100)))*G28</f>
        <v>5.4</v>
      </c>
      <c r="X28" s="13">
        <f>L28*(firstCardNpBonus+VLOOKUP($X$1, cardNpValue, 2,FALSE)*(1+(O28/100))*(1+(Q28/100)))*I28</f>
        <v>9.6390000000000011</v>
      </c>
      <c r="Y28" s="14">
        <f>L28*(firstCardNpBonus+VLOOKUP($Y$1, cardNpValue, 2,FALSE)*(1+(P28/100))*(1+(Q28/100)))*K28</f>
        <v>0.54</v>
      </c>
      <c r="Z28" s="15">
        <f>F28*W28+H28*X28+J28*Y28+S28</f>
        <v>48.190333333333335</v>
      </c>
      <c r="AA28" s="8">
        <f>Z28/maxTotalNpGain</f>
        <v>0.76514367089349311</v>
      </c>
      <c r="AB28" s="12">
        <f>((M28/100)+firstCardStarBonus+VLOOKUP($AB$1, cardStarValue, 2, FALSE)*(1+(N28/100))+(R28/100))*G28</f>
        <v>6.4320000000000004</v>
      </c>
      <c r="AC28" s="13">
        <f>((M28/100)+firstCardStarBonus+VLOOKUP($AC$1, cardStarValue, 2,FALSE )*(1+(O28/100))+(R28/100))*I28</f>
        <v>0.92400000000000015</v>
      </c>
      <c r="AD28" s="14">
        <f>((M28/100)+firstCardStarBonus+VLOOKUP($AD$1, cardStarValue, 2, FALSE)*(1+(P28/100))+(R28/100))*K28</f>
        <v>0.45800000000000007</v>
      </c>
      <c r="AE28" s="11">
        <f>AB28*F28+AC28*H28+AD28*J28+T28</f>
        <v>11.328666666666667</v>
      </c>
      <c r="AF28" s="9">
        <f>AE28/maxTotalStarGen</f>
        <v>0.35330318623629092</v>
      </c>
      <c r="AG28" s="10">
        <f>(AA28+AF28)/2</f>
        <v>0.55922342856489204</v>
      </c>
      <c r="AH28" t="str">
        <f>CONCATENATE(D28,"|",B28,"|",C28,"|",E28,"|",ROUND(W28,2),"|",ROUND(X28,2),"|",ROUND(Y28,2),"|",ROUND(AB28,2),"|",ROUND(AC28,2),"|",ROUND(AD28,2),"|",ROUND(Z28,2),"|",ROUND(AE28,2),"|",ROUND(AA28*100,2),"%|",ROUND(AF28*100,2),"%|",ROUND(AG28*100,2),"%")</f>
        <v>Leonardo Da Vinci|5|Caster|QAAAB|5.4|9.64|0.54|6.43|0.92|0.46|48.19|11.33|76.51%|35.33%|55.92%</v>
      </c>
    </row>
    <row r="29" spans="1:34" x14ac:dyDescent="0.25">
      <c r="A29">
        <v>133</v>
      </c>
      <c r="B29">
        <v>4</v>
      </c>
      <c r="C29" t="s">
        <v>164</v>
      </c>
      <c r="D29" t="s">
        <v>181</v>
      </c>
      <c r="E29" t="s">
        <v>111</v>
      </c>
      <c r="F29" s="3">
        <v>3</v>
      </c>
      <c r="G29" s="3">
        <v>3</v>
      </c>
      <c r="H29" s="4">
        <v>1</v>
      </c>
      <c r="I29" s="4">
        <v>3</v>
      </c>
      <c r="J29" s="2">
        <v>1</v>
      </c>
      <c r="K29" s="2">
        <v>3</v>
      </c>
      <c r="L29" s="6">
        <v>0.71</v>
      </c>
      <c r="M29" s="5">
        <v>25.6</v>
      </c>
      <c r="N29" s="3">
        <f>50/6</f>
        <v>8.3333333333333339</v>
      </c>
      <c r="O29" s="4">
        <v>0</v>
      </c>
      <c r="P29" s="2">
        <v>0</v>
      </c>
      <c r="Q29" s="6">
        <v>0</v>
      </c>
      <c r="R29" s="5">
        <v>2</v>
      </c>
      <c r="S29" s="6">
        <v>0</v>
      </c>
      <c r="T29" s="5">
        <v>0</v>
      </c>
      <c r="U29">
        <f>VLOOKUP(C29,classOrder,2,FALSE)</f>
        <v>7</v>
      </c>
      <c r="V29" s="7">
        <f>F29+H29+J29</f>
        <v>5</v>
      </c>
      <c r="W29" s="12">
        <f>L29*(firstCardNpBonus+VLOOKUP($W$1, cardNpValue, 2, FALSE)*(1+(N29/100))*(1+(Q29/100)))*G29</f>
        <v>5.5912500000000005</v>
      </c>
      <c r="X29" s="13">
        <f>L29*(firstCardNpBonus+VLOOKUP($X$1, cardNpValue, 2,FALSE)*(1+(O29/100))*(1+(Q29/100)))*I29</f>
        <v>11.715</v>
      </c>
      <c r="Y29" s="14">
        <f>L29*(firstCardNpBonus+VLOOKUP($Y$1, cardNpValue, 2,FALSE)*(1+(P29/100))*(1+(Q29/100)))*K29</f>
        <v>2.13</v>
      </c>
      <c r="Z29" s="15">
        <f>F29*W29+H29*X29+J29*Y29+S29</f>
        <v>30.618749999999999</v>
      </c>
      <c r="AA29" s="8">
        <f>Z29/maxTotalNpGain</f>
        <v>0.48615025364361059</v>
      </c>
      <c r="AB29" s="12">
        <f>((M29/100)+firstCardStarBonus+VLOOKUP($AB$1, cardStarValue, 2, FALSE)*(1+(N29/100))+(R29/100))*G29</f>
        <v>5.6529999999999996</v>
      </c>
      <c r="AC29" s="13">
        <f>((M29/100)+firstCardStarBonus+VLOOKUP($AC$1, cardStarValue, 2,FALSE )*(1+(O29/100))+(R29/100))*I29</f>
        <v>1.4280000000000002</v>
      </c>
      <c r="AD29" s="14">
        <f>((M29/100)+firstCardStarBonus+VLOOKUP($AD$1, cardStarValue, 2, FALSE)*(1+(P29/100))+(R29/100))*K29</f>
        <v>1.8780000000000001</v>
      </c>
      <c r="AE29" s="11">
        <f>AB29*F29+AC29*H29+AD29*J29+T29</f>
        <v>20.265000000000001</v>
      </c>
      <c r="AF29" s="9">
        <f>AE29/maxTotalStarGen</f>
        <v>0.63199750506783103</v>
      </c>
      <c r="AG29" s="10">
        <f>(AA29+AF29)/2</f>
        <v>0.55907387935572084</v>
      </c>
      <c r="AH29" t="str">
        <f>CONCATENATE(D29,"|",B29,"|",C29,"|",E29,"|",ROUND(W29,2),"|",ROUND(X29,2),"|",ROUND(Y29,2),"|",ROUND(AB29,2),"|",ROUND(AC29,2),"|",ROUND(AD29,2),"|",ROUND(Z29,2),"|",ROUND(AE29,2),"|",ROUND(AA29*100,2),"%|",ROUND(AF29*100,2),"%|",ROUND(AG29*100,2),"%")</f>
        <v>Scathach (Assassin)|4|Assassin|QQQAB|5.59|11.72|2.13|5.65|1.43|1.88|30.62|20.27|48.62%|63.2%|55.91%</v>
      </c>
    </row>
    <row r="30" spans="1:34" x14ac:dyDescent="0.25">
      <c r="A30">
        <v>33</v>
      </c>
      <c r="B30">
        <v>2</v>
      </c>
      <c r="C30" t="s">
        <v>133</v>
      </c>
      <c r="D30" t="s">
        <v>136</v>
      </c>
      <c r="E30" t="s">
        <v>64</v>
      </c>
      <c r="F30" s="3">
        <v>1</v>
      </c>
      <c r="G30" s="3">
        <v>2</v>
      </c>
      <c r="H30" s="4">
        <v>3</v>
      </c>
      <c r="I30" s="4">
        <v>1</v>
      </c>
      <c r="J30" s="2">
        <v>1</v>
      </c>
      <c r="K30" s="2">
        <v>1</v>
      </c>
      <c r="L30" s="6">
        <v>1.66</v>
      </c>
      <c r="M30" s="5">
        <v>10.8</v>
      </c>
      <c r="N30" s="3">
        <v>0</v>
      </c>
      <c r="O30" s="4">
        <v>4</v>
      </c>
      <c r="P30" s="2">
        <v>0</v>
      </c>
      <c r="Q30" s="6">
        <v>0</v>
      </c>
      <c r="R30" s="5">
        <v>0</v>
      </c>
      <c r="S30" s="6">
        <f>75/6</f>
        <v>12.5</v>
      </c>
      <c r="T30" s="5">
        <f>9*3/5</f>
        <v>5.4</v>
      </c>
      <c r="U30">
        <f>VLOOKUP(C30,classOrder,2,FALSE)</f>
        <v>6</v>
      </c>
      <c r="V30" s="7">
        <f>F30+H30+J30</f>
        <v>5</v>
      </c>
      <c r="W30" s="12">
        <f>L30*(firstCardNpBonus+VLOOKUP($W$1, cardNpValue, 2, FALSE)*(1+(N30/100))*(1+(Q30/100)))*G30</f>
        <v>8.2999999999999989</v>
      </c>
      <c r="X30" s="13">
        <f>L30*(firstCardNpBonus+VLOOKUP($X$1, cardNpValue, 2,FALSE)*(1+(O30/100))*(1+(Q30/100)))*I30</f>
        <v>9.428799999999999</v>
      </c>
      <c r="Y30" s="14">
        <f>L30*(firstCardNpBonus+VLOOKUP($Y$1, cardNpValue, 2,FALSE)*(1+(P30/100))*(1+(Q30/100)))*K30</f>
        <v>1.66</v>
      </c>
      <c r="Z30" s="15">
        <f>F30*W30+H30*X30+J30*Y30+S30</f>
        <v>50.746399999999994</v>
      </c>
      <c r="AA30" s="8">
        <f>Z30/maxTotalNpGain</f>
        <v>0.80572770709124697</v>
      </c>
      <c r="AB30" s="12">
        <f>((M30/100)+firstCardStarBonus+VLOOKUP($AB$1, cardStarValue, 2, FALSE)*(1+(N30/100))+(R30/100))*G30</f>
        <v>3.2160000000000002</v>
      </c>
      <c r="AC30" s="13">
        <f>((M30/100)+firstCardStarBonus+VLOOKUP($AC$1, cardStarValue, 2,FALSE )*(1+(O30/100))+(R30/100))*I30</f>
        <v>0.30800000000000005</v>
      </c>
      <c r="AD30" s="14">
        <f>((M30/100)+firstCardStarBonus+VLOOKUP($AD$1, cardStarValue, 2, FALSE)*(1+(P30/100))+(R30/100))*K30</f>
        <v>0.45800000000000007</v>
      </c>
      <c r="AE30" s="11">
        <f>AB30*F30+AC30*H30+AD30*J30+T30</f>
        <v>9.9980000000000011</v>
      </c>
      <c r="AF30" s="9">
        <f>AE30/maxTotalStarGen</f>
        <v>0.31180414782473109</v>
      </c>
      <c r="AG30" s="10">
        <f>(AA30+AF30)/2</f>
        <v>0.55876592745798903</v>
      </c>
      <c r="AH30" t="str">
        <f>CONCATENATE(D30,"|",B30,"|",C30,"|",E30,"|",ROUND(W30,2),"|",ROUND(X30,2),"|",ROUND(Y30,2),"|",ROUND(AB30,2),"|",ROUND(AC30,2),"|",ROUND(AD30,2),"|",ROUND(Z30,2),"|",ROUND(AE30,2),"|",ROUND(AA30*100,2),"%|",ROUND(AF30*100,2),"%|",ROUND(AG30*100,2),"%")</f>
        <v>Hans Christian Andersen|2|Caster|QAAAB|8.3|9.43|1.66|3.22|0.31|0.46|50.75|10|80.57%|31.18%|55.88%</v>
      </c>
    </row>
    <row r="31" spans="1:34" x14ac:dyDescent="0.25">
      <c r="A31">
        <v>39</v>
      </c>
      <c r="B31">
        <v>1</v>
      </c>
      <c r="C31" t="s">
        <v>164</v>
      </c>
      <c r="D31" t="s">
        <v>165</v>
      </c>
      <c r="E31" t="s">
        <v>111</v>
      </c>
      <c r="F31" s="3">
        <v>3</v>
      </c>
      <c r="G31" s="3">
        <v>2</v>
      </c>
      <c r="H31" s="4">
        <v>1</v>
      </c>
      <c r="I31" s="4">
        <v>2</v>
      </c>
      <c r="J31" s="2">
        <v>1</v>
      </c>
      <c r="K31" s="2">
        <v>1</v>
      </c>
      <c r="L31" s="6">
        <v>1.05</v>
      </c>
      <c r="M31" s="5">
        <v>25.3</v>
      </c>
      <c r="N31" s="3">
        <v>0</v>
      </c>
      <c r="O31" s="4">
        <v>0</v>
      </c>
      <c r="P31" s="2">
        <v>0</v>
      </c>
      <c r="Q31" s="6">
        <v>0</v>
      </c>
      <c r="R31" s="5">
        <f>4+90*3/5</f>
        <v>58</v>
      </c>
      <c r="S31" s="6">
        <v>0</v>
      </c>
      <c r="T31" s="5">
        <f>15/4</f>
        <v>3.75</v>
      </c>
      <c r="U31">
        <f>VLOOKUP(C31,classOrder,2,FALSE)</f>
        <v>7</v>
      </c>
      <c r="V31" s="7">
        <f>F31+H31+J31</f>
        <v>5</v>
      </c>
      <c r="W31" s="12">
        <f>L31*(firstCardNpBonus+VLOOKUP($W$1, cardNpValue, 2, FALSE)*(1+(N31/100))*(1+(Q31/100)))*G31</f>
        <v>5.25</v>
      </c>
      <c r="X31" s="13">
        <f>L31*(firstCardNpBonus+VLOOKUP($X$1, cardNpValue, 2,FALSE)*(1+(O31/100))*(1+(Q31/100)))*I31</f>
        <v>11.55</v>
      </c>
      <c r="Y31" s="14">
        <f>L31*(firstCardNpBonus+VLOOKUP($Y$1, cardNpValue, 2,FALSE)*(1+(P31/100))*(1+(Q31/100)))*K31</f>
        <v>1.05</v>
      </c>
      <c r="Z31" s="15">
        <f>F31*W31+H31*X31+J31*Y31+S31</f>
        <v>28.35</v>
      </c>
      <c r="AA31" s="8">
        <f>Z31/maxTotalNpGain</f>
        <v>0.45012809767859108</v>
      </c>
      <c r="AB31" s="12">
        <f>((M31/100)+firstCardStarBonus+VLOOKUP($AB$1, cardStarValue, 2, FALSE)*(1+(N31/100))+(R31/100))*G31</f>
        <v>4.6660000000000004</v>
      </c>
      <c r="AC31" s="13">
        <f>((M31/100)+firstCardStarBonus+VLOOKUP($AC$1, cardStarValue, 2,FALSE )*(1+(O31/100))+(R31/100))*I31</f>
        <v>2.0659999999999998</v>
      </c>
      <c r="AD31" s="14">
        <f>((M31/100)+firstCardStarBonus+VLOOKUP($AD$1, cardStarValue, 2, FALSE)*(1+(P31/100))+(R31/100))*K31</f>
        <v>1.1829999999999998</v>
      </c>
      <c r="AE31" s="11">
        <f>AB31*F31+AC31*H31+AD31*J31+T31</f>
        <v>20.997</v>
      </c>
      <c r="AF31" s="9">
        <f>AE31/maxTotalStarGen</f>
        <v>0.65482613441447068</v>
      </c>
      <c r="AG31" s="10">
        <f>(AA31+AF31)/2</f>
        <v>0.55247711604653094</v>
      </c>
      <c r="AH31" t="str">
        <f>CONCATENATE(D31,"|",B31,"|",C31,"|",E31,"|",ROUND(W31,2),"|",ROUND(X31,2),"|",ROUND(Y31,2),"|",ROUND(AB31,2),"|",ROUND(AC31,2),"|",ROUND(AD31,2),"|",ROUND(Z31,2),"|",ROUND(AE31,2),"|",ROUND(AA31*100,2),"%|",ROUND(AF31*100,2),"%|",ROUND(AG31*100,2),"%")</f>
        <v>Sasaki Kojirou|1|Assassin|QQQAB|5.25|11.55|1.05|4.67|2.07|1.18|28.35|21|45.01%|65.48%|55.25%</v>
      </c>
    </row>
    <row r="32" spans="1:34" x14ac:dyDescent="0.25">
      <c r="A32">
        <v>100</v>
      </c>
      <c r="B32">
        <v>4</v>
      </c>
      <c r="C32" t="s">
        <v>133</v>
      </c>
      <c r="D32" t="s">
        <v>148</v>
      </c>
      <c r="E32" t="s">
        <v>64</v>
      </c>
      <c r="F32" s="3">
        <v>1</v>
      </c>
      <c r="G32" s="3">
        <v>6</v>
      </c>
      <c r="H32" s="4">
        <v>3</v>
      </c>
      <c r="I32" s="4">
        <v>3</v>
      </c>
      <c r="J32" s="2">
        <v>1</v>
      </c>
      <c r="K32" s="2">
        <v>1</v>
      </c>
      <c r="L32" s="6">
        <v>0.45</v>
      </c>
      <c r="M32" s="5">
        <v>10.7</v>
      </c>
      <c r="N32" s="3">
        <f>20*3/7</f>
        <v>8.5714285714285712</v>
      </c>
      <c r="O32" s="4">
        <f>10+20*3/7</f>
        <v>18.571428571428569</v>
      </c>
      <c r="P32" s="2">
        <f>20*3/7</f>
        <v>8.5714285714285712</v>
      </c>
      <c r="Q32" s="6">
        <v>0</v>
      </c>
      <c r="R32" s="5">
        <v>0</v>
      </c>
      <c r="S32" s="6">
        <f>20/7</f>
        <v>2.8571428571428572</v>
      </c>
      <c r="T32" s="5">
        <f>5*5/8</f>
        <v>3.125</v>
      </c>
      <c r="U32">
        <f>VLOOKUP(C32,classOrder,2,FALSE)</f>
        <v>6</v>
      </c>
      <c r="V32" s="7">
        <f>F32+H32+J32</f>
        <v>5</v>
      </c>
      <c r="W32" s="12">
        <f>L32*(firstCardNpBonus+VLOOKUP($W$1, cardNpValue, 2, FALSE)*(1+(N32/100))*(1+(Q32/100)))*G32</f>
        <v>7.097142857142857</v>
      </c>
      <c r="X32" s="13">
        <f>L32*(firstCardNpBonus+VLOOKUP($X$1, cardNpValue, 2,FALSE)*(1+(O32/100))*(1+(Q32/100)))*I32</f>
        <v>8.5532142857142865</v>
      </c>
      <c r="Y32" s="14">
        <f>L32*(firstCardNpBonus+VLOOKUP($Y$1, cardNpValue, 2,FALSE)*(1+(P32/100))*(1+(Q32/100)))*K32</f>
        <v>0.45</v>
      </c>
      <c r="Z32" s="15">
        <f>F32*W32+H32*X32+J32*Y32+S32</f>
        <v>36.063928571428576</v>
      </c>
      <c r="AA32" s="8">
        <f>Z32/maxTotalNpGain</f>
        <v>0.57260626323364139</v>
      </c>
      <c r="AB32" s="12">
        <f>((M32/100)+firstCardStarBonus+VLOOKUP($AB$1, cardStarValue, 2, FALSE)*(1+(N32/100))+(R32/100))*G32</f>
        <v>10.310571428571428</v>
      </c>
      <c r="AC32" s="13">
        <f>((M32/100)+firstCardStarBonus+VLOOKUP($AC$1, cardStarValue, 2,FALSE )*(1+(O32/100))+(R32/100))*I32</f>
        <v>0.92100000000000004</v>
      </c>
      <c r="AD32" s="14">
        <f>((M32/100)+firstCardStarBonus+VLOOKUP($AD$1, cardStarValue, 2, FALSE)*(1+(P32/100))+(R32/100))*K32</f>
        <v>0.46985714285714286</v>
      </c>
      <c r="AE32" s="11">
        <f>AB32*F32+AC32*H32+AD32*J32+T32</f>
        <v>16.668428571428571</v>
      </c>
      <c r="AF32" s="9">
        <f>AE32/maxTotalStarGen</f>
        <v>0.51983248312579355</v>
      </c>
      <c r="AG32" s="10">
        <f>(AA32+AF32)/2</f>
        <v>0.54621937317971747</v>
      </c>
      <c r="AH32" t="str">
        <f>CONCATENATE(D32,"|",B32,"|",C32,"|",E32,"|",ROUND(W32,2),"|",ROUND(X32,2),"|",ROUND(Y32,2),"|",ROUND(AB32,2),"|",ROUND(AC32,2),"|",ROUND(AD32,2),"|",ROUND(Z32,2),"|",ROUND(AE32,2),"|",ROUND(AA32*100,2),"%|",ROUND(AF32*100,2),"%|",ROUND(AG32*100,2),"%")</f>
        <v>Helena Blavatsky|4|Caster|QAAAB|7.1|8.55|0.45|10.31|0.92|0.47|36.06|16.67|57.26%|51.98%|54.62%</v>
      </c>
    </row>
    <row r="33" spans="1:34" x14ac:dyDescent="0.25">
      <c r="A33">
        <v>129</v>
      </c>
      <c r="B33">
        <v>5</v>
      </c>
      <c r="C33" t="s">
        <v>63</v>
      </c>
      <c r="D33" t="s">
        <v>81</v>
      </c>
      <c r="E33" t="s">
        <v>67</v>
      </c>
      <c r="F33" s="3">
        <v>2</v>
      </c>
      <c r="G33" s="3">
        <v>4</v>
      </c>
      <c r="H33" s="4">
        <v>2</v>
      </c>
      <c r="I33" s="4">
        <v>3</v>
      </c>
      <c r="J33" s="2">
        <v>1</v>
      </c>
      <c r="K33" s="2">
        <v>3</v>
      </c>
      <c r="L33" s="6">
        <v>0.59</v>
      </c>
      <c r="M33" s="5">
        <v>8</v>
      </c>
      <c r="N33" s="3">
        <v>0</v>
      </c>
      <c r="O33" s="4">
        <f>10+30*3/6</f>
        <v>25</v>
      </c>
      <c r="P33" s="2">
        <v>0</v>
      </c>
      <c r="Q33" s="6">
        <v>0</v>
      </c>
      <c r="R33" s="5">
        <v>0</v>
      </c>
      <c r="S33" s="6">
        <v>0</v>
      </c>
      <c r="T33" s="5">
        <v>0</v>
      </c>
      <c r="U33">
        <f>VLOOKUP(C33,classOrder,2,FALSE)</f>
        <v>3</v>
      </c>
      <c r="V33" s="7">
        <f>F33+H33+J33</f>
        <v>5</v>
      </c>
      <c r="W33" s="12">
        <f>L33*(firstCardNpBonus+VLOOKUP($W$1, cardNpValue, 2, FALSE)*(1+(N33/100))*(1+(Q33/100)))*G33</f>
        <v>5.8999999999999995</v>
      </c>
      <c r="X33" s="13">
        <f>L33*(firstCardNpBonus+VLOOKUP($X$1, cardNpValue, 2,FALSE)*(1+(O33/100))*(1+(Q33/100)))*I33</f>
        <v>11.72625</v>
      </c>
      <c r="Y33" s="14">
        <f>L33*(firstCardNpBonus+VLOOKUP($Y$1, cardNpValue, 2,FALSE)*(1+(P33/100))*(1+(Q33/100)))*K33</f>
        <v>1.77</v>
      </c>
      <c r="Z33" s="15">
        <f>F33*W33+H33*X33+J33*Y33+S33</f>
        <v>37.022500000000001</v>
      </c>
      <c r="AA33" s="8">
        <f>Z33/maxTotalNpGain</f>
        <v>0.58782601397903489</v>
      </c>
      <c r="AB33" s="12">
        <f>((M33/100)+firstCardStarBonus+VLOOKUP($AB$1, cardStarValue, 2, FALSE)*(1+(N33/100))+(R33/100))*G33</f>
        <v>6.32</v>
      </c>
      <c r="AC33" s="13">
        <f>((M33/100)+firstCardStarBonus+VLOOKUP($AC$1, cardStarValue, 2,FALSE )*(1+(O33/100))+(R33/100))*I33</f>
        <v>0.84000000000000008</v>
      </c>
      <c r="AD33" s="14">
        <f>((M33/100)+firstCardStarBonus+VLOOKUP($AD$1, cardStarValue, 2, FALSE)*(1+(P33/100))+(R33/100))*K33</f>
        <v>1.29</v>
      </c>
      <c r="AE33" s="11">
        <f>AB33*F33+AC33*H33+AD33*J33+T33</f>
        <v>15.61</v>
      </c>
      <c r="AF33" s="9">
        <f>AE33/maxTotalStarGen</f>
        <v>0.48682363948230162</v>
      </c>
      <c r="AG33" s="10">
        <f>(AA33+AF33)/2</f>
        <v>0.53732482673066828</v>
      </c>
      <c r="AH33" t="str">
        <f>CONCATENATE(D33,"|",B33,"|",C33,"|",E33,"|",ROUND(W33,2),"|",ROUND(X33,2),"|",ROUND(Y33,2),"|",ROUND(AB33,2),"|",ROUND(AC33,2),"|",ROUND(AD33,2),"|",ROUND(Z33,2),"|",ROUND(AE33,2),"|",ROUND(AA33*100,2),"%|",ROUND(AF33*100,2),"%|",ROUND(AG33*100,2),"%")</f>
        <v>Artoria Pendragon (Archer)|5|Archer|QQAAB|5.9|11.73|1.77|6.32|0.84|1.29|37.02|15.61|58.78%|48.68%|53.73%</v>
      </c>
    </row>
    <row r="34" spans="1:34" x14ac:dyDescent="0.25">
      <c r="A34">
        <v>124</v>
      </c>
      <c r="B34">
        <v>3</v>
      </c>
      <c r="C34" t="s">
        <v>164</v>
      </c>
      <c r="D34" t="s">
        <v>180</v>
      </c>
      <c r="E34" t="s">
        <v>67</v>
      </c>
      <c r="F34" s="3">
        <v>2</v>
      </c>
      <c r="G34" s="3">
        <v>3</v>
      </c>
      <c r="H34" s="4">
        <v>2</v>
      </c>
      <c r="I34" s="4">
        <v>3</v>
      </c>
      <c r="J34" s="2">
        <v>1</v>
      </c>
      <c r="K34" s="2">
        <v>4</v>
      </c>
      <c r="L34" s="6">
        <v>0.53</v>
      </c>
      <c r="M34" s="5">
        <v>25.6</v>
      </c>
      <c r="N34" s="3">
        <v>0</v>
      </c>
      <c r="O34" s="4">
        <v>0</v>
      </c>
      <c r="P34" s="2">
        <v>0</v>
      </c>
      <c r="Q34" s="6">
        <v>0</v>
      </c>
      <c r="R34" s="5">
        <v>10.5</v>
      </c>
      <c r="S34" s="6">
        <v>0</v>
      </c>
      <c r="T34" s="5">
        <f>12/4</f>
        <v>3</v>
      </c>
      <c r="U34">
        <f>VLOOKUP(C34,classOrder,2,FALSE)</f>
        <v>7</v>
      </c>
      <c r="V34" s="7">
        <f>F34+H34+J34</f>
        <v>5</v>
      </c>
      <c r="W34" s="12">
        <f>L34*(firstCardNpBonus+VLOOKUP($W$1, cardNpValue, 2, FALSE)*(1+(N34/100))*(1+(Q34/100)))*G34</f>
        <v>3.9750000000000005</v>
      </c>
      <c r="X34" s="13">
        <f>L34*(firstCardNpBonus+VLOOKUP($X$1, cardNpValue, 2,FALSE)*(1+(O34/100))*(1+(Q34/100)))*I34</f>
        <v>8.745000000000001</v>
      </c>
      <c r="Y34" s="14">
        <f>L34*(firstCardNpBonus+VLOOKUP($Y$1, cardNpValue, 2,FALSE)*(1+(P34/100))*(1+(Q34/100)))*K34</f>
        <v>2.12</v>
      </c>
      <c r="Z34" s="15">
        <f>F34*W34+H34*X34+J34*Y34+S34</f>
        <v>27.560000000000006</v>
      </c>
      <c r="AA34" s="8">
        <f>Z34/maxTotalNpGain</f>
        <v>0.43758484557396726</v>
      </c>
      <c r="AB34" s="12">
        <f>((M34/100)+firstCardStarBonus+VLOOKUP($AB$1, cardStarValue, 2, FALSE)*(1+(N34/100))+(R34/100))*G34</f>
        <v>5.5830000000000002</v>
      </c>
      <c r="AC34" s="13">
        <f>((M34/100)+firstCardStarBonus+VLOOKUP($AC$1, cardStarValue, 2,FALSE )*(1+(O34/100))+(R34/100))*I34</f>
        <v>1.6830000000000003</v>
      </c>
      <c r="AD34" s="14">
        <f>((M34/100)+firstCardStarBonus+VLOOKUP($AD$1, cardStarValue, 2, FALSE)*(1+(P34/100))+(R34/100))*K34</f>
        <v>2.8439999999999999</v>
      </c>
      <c r="AE34" s="11">
        <f>AB34*F34+AC34*H34+AD34*J34+T34</f>
        <v>20.376000000000001</v>
      </c>
      <c r="AF34" s="9">
        <f>AE34/maxTotalStarGen</f>
        <v>0.6354592234523625</v>
      </c>
      <c r="AG34" s="10">
        <f>(AA34+AF34)/2</f>
        <v>0.53652203451316494</v>
      </c>
      <c r="AH34" t="str">
        <f>CONCATENATE(D34,"|",B34,"|",C34,"|",E34,"|",ROUND(W34,2),"|",ROUND(X34,2),"|",ROUND(Y34,2),"|",ROUND(AB34,2),"|",ROUND(AC34,2),"|",ROUND(AD34,2),"|",ROUND(Z34,2),"|",ROUND(AE34,2),"|",ROUND(AA34*100,2),"%|",ROUND(AF34*100,2),"%|",ROUND(AG34*100,2),"%")</f>
        <v>Hassan of Serenity|3|Assassin|QQAAB|3.98|8.75|2.12|5.58|1.68|2.84|27.56|20.38|43.76%|63.55%|53.65%</v>
      </c>
    </row>
    <row r="35" spans="1:34" x14ac:dyDescent="0.25">
      <c r="A35">
        <v>155</v>
      </c>
      <c r="B35">
        <v>5</v>
      </c>
      <c r="C35" t="s">
        <v>185</v>
      </c>
      <c r="D35" t="s">
        <v>206</v>
      </c>
      <c r="E35" t="s">
        <v>36</v>
      </c>
      <c r="F35" s="3">
        <v>2</v>
      </c>
      <c r="G35" s="3">
        <v>3</v>
      </c>
      <c r="H35" s="4">
        <v>1</v>
      </c>
      <c r="I35" s="4">
        <v>2</v>
      </c>
      <c r="J35" s="2">
        <v>2</v>
      </c>
      <c r="K35" s="2">
        <v>4</v>
      </c>
      <c r="L35" s="6">
        <v>1.07</v>
      </c>
      <c r="M35" s="5">
        <v>5</v>
      </c>
      <c r="N35" s="3">
        <v>0</v>
      </c>
      <c r="O35" s="4">
        <v>0</v>
      </c>
      <c r="P35" s="2">
        <v>6</v>
      </c>
      <c r="Q35" s="6">
        <v>0</v>
      </c>
      <c r="R35" s="5">
        <v>0</v>
      </c>
      <c r="S35" s="6">
        <v>0</v>
      </c>
      <c r="T35" s="5">
        <f>14/5</f>
        <v>2.8</v>
      </c>
      <c r="U35">
        <f>VLOOKUP(C35,classOrder,2,FALSE)</f>
        <v>8</v>
      </c>
      <c r="V35" s="7">
        <f>F35+H35+J35</f>
        <v>5</v>
      </c>
      <c r="W35" s="12">
        <f>L35*(firstCardNpBonus+VLOOKUP($W$1, cardNpValue, 2, FALSE)*(1+(N35/100))*(1+(Q35/100)))*G35</f>
        <v>8.0250000000000004</v>
      </c>
      <c r="X35" s="13">
        <f>L35*(firstCardNpBonus+VLOOKUP($X$1, cardNpValue, 2,FALSE)*(1+(O35/100))*(1+(Q35/100)))*I35</f>
        <v>11.770000000000001</v>
      </c>
      <c r="Y35" s="14">
        <f>L35*(firstCardNpBonus+VLOOKUP($Y$1, cardNpValue, 2,FALSE)*(1+(P35/100))*(1+(Q35/100)))*K35</f>
        <v>4.28</v>
      </c>
      <c r="Z35" s="15">
        <f>F35*W35+H35*X35+J35*Y35+S35</f>
        <v>36.380000000000003</v>
      </c>
      <c r="AA35" s="8">
        <f>Z35/maxTotalNpGain</f>
        <v>0.57762469818508444</v>
      </c>
      <c r="AB35" s="12">
        <f>((M35/100)+firstCardStarBonus+VLOOKUP($AB$1, cardStarValue, 2, FALSE)*(1+(N35/100))+(R35/100))*G35</f>
        <v>4.6500000000000004</v>
      </c>
      <c r="AC35" s="13">
        <f>((M35/100)+firstCardStarBonus+VLOOKUP($AC$1, cardStarValue, 2,FALSE )*(1+(O35/100))+(R35/100))*I35</f>
        <v>0.5</v>
      </c>
      <c r="AD35" s="14">
        <f>((M35/100)+firstCardStarBonus+VLOOKUP($AD$1, cardStarValue, 2, FALSE)*(1+(P35/100))+(R35/100))*K35</f>
        <v>1.6360000000000001</v>
      </c>
      <c r="AE35" s="11">
        <f>AB35*F35+AC35*H35+AD35*J35+T35</f>
        <v>15.872</v>
      </c>
      <c r="AF35" s="9">
        <f>AE35/maxTotalStarGen</f>
        <v>0.49499454233588025</v>
      </c>
      <c r="AG35" s="10">
        <f>(AA35+AF35)/2</f>
        <v>0.53630962026048234</v>
      </c>
      <c r="AH35" t="str">
        <f>CONCATENATE(D35,"|",B35,"|",C35,"|",E35,"|",ROUND(W35,2),"|",ROUND(X35,2),"|",ROUND(Y35,2),"|",ROUND(AB35,2),"|",ROUND(AC35,2),"|",ROUND(AD35,2),"|",ROUND(Z35,2),"|",ROUND(AE35,2),"|",ROUND(AA35*100,2),"%|",ROUND(AF35*100,2),"%|",ROUND(AG35*100,2),"%")</f>
        <v>Mysterious Heroine X (Alter)|5|Berserker|QQABB|8.03|11.77|4.28|4.65|0.5|1.64|36.38|15.87|57.76%|49.5%|53.63%</v>
      </c>
    </row>
    <row r="36" spans="1:34" x14ac:dyDescent="0.25">
      <c r="A36">
        <v>163</v>
      </c>
      <c r="B36">
        <v>5</v>
      </c>
      <c r="C36" t="s">
        <v>221</v>
      </c>
      <c r="D36" t="s">
        <v>222</v>
      </c>
      <c r="E36" t="s">
        <v>36</v>
      </c>
      <c r="F36" s="3">
        <v>2</v>
      </c>
      <c r="G36" s="3">
        <v>4</v>
      </c>
      <c r="H36" s="4">
        <v>1</v>
      </c>
      <c r="I36" s="4">
        <v>2</v>
      </c>
      <c r="J36" s="2">
        <v>2</v>
      </c>
      <c r="K36" s="2">
        <v>1</v>
      </c>
      <c r="L36" s="6">
        <v>0.92</v>
      </c>
      <c r="M36" s="5">
        <v>10.199999999999999</v>
      </c>
      <c r="N36" s="3">
        <v>8</v>
      </c>
      <c r="O36" s="4">
        <v>0</v>
      </c>
      <c r="P36" s="2">
        <v>0</v>
      </c>
      <c r="Q36" s="6">
        <v>0</v>
      </c>
      <c r="R36" s="5">
        <v>0</v>
      </c>
      <c r="S36" s="6">
        <v>0</v>
      </c>
      <c r="T36" s="5">
        <f>15/5</f>
        <v>3</v>
      </c>
      <c r="U36">
        <f>VLOOKUP(C36,classOrder,2,FALSE)</f>
        <v>12</v>
      </c>
      <c r="V36" s="7">
        <f>F36+H36+J36</f>
        <v>5</v>
      </c>
      <c r="W36" s="12">
        <f>L36*(firstCardNpBonus+VLOOKUP($W$1, cardNpValue, 2, FALSE)*(1+(N36/100))*(1+(Q36/100)))*G36</f>
        <v>9.6416000000000004</v>
      </c>
      <c r="X36" s="13">
        <f>L36*(firstCardNpBonus+VLOOKUP($X$1, cardNpValue, 2,FALSE)*(1+(O36/100))*(1+(Q36/100)))*I36</f>
        <v>10.120000000000001</v>
      </c>
      <c r="Y36" s="14">
        <f>L36*(firstCardNpBonus+VLOOKUP($Y$1, cardNpValue, 2,FALSE)*(1+(P36/100))*(1+(Q36/100)))*K36</f>
        <v>0.92</v>
      </c>
      <c r="Z36" s="15">
        <f>F36*W36+H36*X36+J36*Y36+S36</f>
        <v>31.243200000000002</v>
      </c>
      <c r="AA36" s="8">
        <f>Z36/maxTotalNpGain</f>
        <v>0.49606497994327187</v>
      </c>
      <c r="AB36" s="12">
        <f>((M36/100)+firstCardStarBonus+VLOOKUP($AB$1, cardStarValue, 2, FALSE)*(1+(N36/100))+(R36/100))*G36</f>
        <v>6.8240000000000007</v>
      </c>
      <c r="AC36" s="13">
        <f>((M36/100)+firstCardStarBonus+VLOOKUP($AC$1, cardStarValue, 2,FALSE )*(1+(O36/100))+(R36/100))*I36</f>
        <v>0.60399999999999998</v>
      </c>
      <c r="AD36" s="14">
        <f>((M36/100)+firstCardStarBonus+VLOOKUP($AD$1, cardStarValue, 2, FALSE)*(1+(P36/100))+(R36/100))*K36</f>
        <v>0.45199999999999996</v>
      </c>
      <c r="AE36" s="11">
        <f>AB36*F36+AC36*H36+AD36*J36+T36</f>
        <v>18.155999999999999</v>
      </c>
      <c r="AF36" s="9">
        <f>AE36/maxTotalStarGen</f>
        <v>0.56622485576173398</v>
      </c>
      <c r="AG36" s="10">
        <f>(AA36+AF36)/2</f>
        <v>0.53114491785250295</v>
      </c>
      <c r="AH36" t="str">
        <f>CONCATENATE(D36,"|",B36,"|",C36,"|",E36,"|",ROUND(W36,2),"|",ROUND(X36,2),"|",ROUND(Y36,2),"|",ROUND(AB36,2),"|",ROUND(AC36,2),"|",ROUND(AD36,2),"|",ROUND(Z36,2),"|",ROUND(AE36,2),"|",ROUND(AA36*100,2),"%|",ROUND(AF36*100,2),"%|",ROUND(AG36*100,2),"%")</f>
        <v>Meltlilith|5|Alter Ego|QQABB|9.64|10.12|0.92|6.82|0.6|0.45|31.24|18.16|49.61%|56.62%|53.11%</v>
      </c>
    </row>
    <row r="37" spans="1:34" x14ac:dyDescent="0.25">
      <c r="A37">
        <v>12</v>
      </c>
      <c r="B37">
        <v>5</v>
      </c>
      <c r="C37" t="s">
        <v>63</v>
      </c>
      <c r="D37" t="s">
        <v>65</v>
      </c>
      <c r="E37" t="s">
        <v>6</v>
      </c>
      <c r="F37" s="3">
        <v>1</v>
      </c>
      <c r="G37" s="3">
        <v>5</v>
      </c>
      <c r="H37" s="4">
        <v>2</v>
      </c>
      <c r="I37" s="4">
        <v>5</v>
      </c>
      <c r="J37" s="2">
        <v>2</v>
      </c>
      <c r="K37" s="2">
        <v>5</v>
      </c>
      <c r="L37" s="6">
        <v>0.34</v>
      </c>
      <c r="M37" s="5">
        <v>7.9</v>
      </c>
      <c r="N37" s="3">
        <v>0</v>
      </c>
      <c r="O37" s="4">
        <v>0</v>
      </c>
      <c r="P37" s="2">
        <v>0</v>
      </c>
      <c r="Q37" s="6">
        <f>50*3/6</f>
        <v>25</v>
      </c>
      <c r="R37" s="5">
        <v>0</v>
      </c>
      <c r="S37" s="6">
        <f>30/5</f>
        <v>6</v>
      </c>
      <c r="T37" s="5">
        <v>0</v>
      </c>
      <c r="U37">
        <f>VLOOKUP(C37,classOrder,2,FALSE)</f>
        <v>3</v>
      </c>
      <c r="V37" s="7">
        <f>F37+H37+J37</f>
        <v>5</v>
      </c>
      <c r="W37" s="12">
        <f>L37*(firstCardNpBonus+VLOOKUP($W$1, cardNpValue, 2, FALSE)*(1+(N37/100))*(1+(Q37/100)))*G37</f>
        <v>4.8875000000000002</v>
      </c>
      <c r="X37" s="13">
        <f>L37*(firstCardNpBonus+VLOOKUP($X$1, cardNpValue, 2,FALSE)*(1+(O37/100))*(1+(Q37/100)))*I37</f>
        <v>11.262499999999999</v>
      </c>
      <c r="Y37" s="14">
        <f>L37*(firstCardNpBonus+VLOOKUP($Y$1, cardNpValue, 2,FALSE)*(1+(P37/100))*(1+(Q37/100)))*K37</f>
        <v>1.7000000000000002</v>
      </c>
      <c r="Z37" s="15">
        <f>F37*W37+H37*X37+J37*Y37+S37</f>
        <v>36.8125</v>
      </c>
      <c r="AA37" s="8">
        <f>Z37/maxTotalNpGain</f>
        <v>0.58449173177400826</v>
      </c>
      <c r="AB37" s="12">
        <f>((M37/100)+firstCardStarBonus+VLOOKUP($AB$1, cardStarValue, 2, FALSE)*(1+(N37/100))+(R37/100))*G37</f>
        <v>7.8950000000000014</v>
      </c>
      <c r="AC37" s="13">
        <f>((M37/100)+firstCardStarBonus+VLOOKUP($AC$1, cardStarValue, 2,FALSE )*(1+(O37/100))+(R37/100))*I37</f>
        <v>1.395</v>
      </c>
      <c r="AD37" s="14">
        <f>((M37/100)+firstCardStarBonus+VLOOKUP($AD$1, cardStarValue, 2, FALSE)*(1+(P37/100))+(R37/100))*K37</f>
        <v>2.1450000000000005</v>
      </c>
      <c r="AE37" s="11">
        <f>AB37*F37+AC37*H37+AD37*J37+T37</f>
        <v>14.975000000000003</v>
      </c>
      <c r="AF37" s="9">
        <f>AE37/maxTotalStarGen</f>
        <v>0.46702011539061294</v>
      </c>
      <c r="AG37" s="10">
        <f>(AA37+AF37)/2</f>
        <v>0.5257559235823106</v>
      </c>
      <c r="AH37" t="str">
        <f>CONCATENATE(D37,"|",B37,"|",C37,"|",E37,"|",ROUND(W37,2),"|",ROUND(X37,2),"|",ROUND(Y37,2),"|",ROUND(AB37,2),"|",ROUND(AC37,2),"|",ROUND(AD37,2),"|",ROUND(Z37,2),"|",ROUND(AE37,2),"|",ROUND(AA37*100,2),"%|",ROUND(AF37*100,2),"%|",ROUND(AG37*100,2),"%")</f>
        <v>Gilgamesh|5|Archer|QAABB|4.89|11.26|1.7|7.9|1.4|2.15|36.81|14.98|58.45%|46.7%|52.58%</v>
      </c>
    </row>
    <row r="38" spans="1:34" x14ac:dyDescent="0.25">
      <c r="A38">
        <v>96</v>
      </c>
      <c r="B38">
        <v>5</v>
      </c>
      <c r="C38" t="s">
        <v>213</v>
      </c>
      <c r="D38" t="s">
        <v>214</v>
      </c>
      <c r="E38" t="s">
        <v>36</v>
      </c>
      <c r="F38" s="3">
        <v>2</v>
      </c>
      <c r="G38" s="3">
        <v>4</v>
      </c>
      <c r="H38" s="4">
        <v>1</v>
      </c>
      <c r="I38" s="4">
        <v>2</v>
      </c>
      <c r="J38" s="2">
        <v>2</v>
      </c>
      <c r="K38" s="2">
        <v>3</v>
      </c>
      <c r="L38" s="6">
        <v>0.62</v>
      </c>
      <c r="M38" s="5">
        <v>5.9</v>
      </c>
      <c r="N38" s="3">
        <v>0</v>
      </c>
      <c r="O38" s="4">
        <v>0</v>
      </c>
      <c r="P38" s="2">
        <v>0</v>
      </c>
      <c r="Q38" s="6">
        <f>50*3/6</f>
        <v>25</v>
      </c>
      <c r="R38" s="5">
        <v>0</v>
      </c>
      <c r="S38" s="6">
        <v>3</v>
      </c>
      <c r="T38" s="5">
        <f>20/6</f>
        <v>3.3333333333333335</v>
      </c>
      <c r="U38">
        <f>VLOOKUP(C38,classOrder,2,FALSE)</f>
        <v>10</v>
      </c>
      <c r="V38" s="7">
        <f>F38+H38+J38</f>
        <v>5</v>
      </c>
      <c r="W38" s="12">
        <f>L38*(firstCardNpBonus+VLOOKUP($W$1, cardNpValue, 2, FALSE)*(1+(N38/100))*(1+(Q38/100)))*G38</f>
        <v>7.13</v>
      </c>
      <c r="X38" s="13">
        <f>L38*(firstCardNpBonus+VLOOKUP($X$1, cardNpValue, 2,FALSE)*(1+(O38/100))*(1+(Q38/100)))*I38</f>
        <v>8.2149999999999999</v>
      </c>
      <c r="Y38" s="14">
        <f>L38*(firstCardNpBonus+VLOOKUP($Y$1, cardNpValue, 2,FALSE)*(1+(P38/100))*(1+(Q38/100)))*K38</f>
        <v>1.8599999999999999</v>
      </c>
      <c r="Z38" s="15">
        <f>F38*W38+H38*X38+J38*Y38+S38</f>
        <v>29.195</v>
      </c>
      <c r="AA38" s="8">
        <f>Z38/maxTotalNpGain</f>
        <v>0.46354461417024573</v>
      </c>
      <c r="AB38" s="12">
        <f>((M38/100)+firstCardStarBonus+VLOOKUP($AB$1, cardStarValue, 2, FALSE)*(1+(N38/100))+(R38/100))*G38</f>
        <v>6.2360000000000007</v>
      </c>
      <c r="AC38" s="13">
        <f>((M38/100)+firstCardStarBonus+VLOOKUP($AC$1, cardStarValue, 2,FALSE )*(1+(O38/100))+(R38/100))*I38</f>
        <v>0.51800000000000002</v>
      </c>
      <c r="AD38" s="14">
        <f>((M38/100)+firstCardStarBonus+VLOOKUP($AD$1, cardStarValue, 2, FALSE)*(1+(P38/100))+(R38/100))*K38</f>
        <v>1.2270000000000001</v>
      </c>
      <c r="AE38" s="11">
        <f>AB38*F38+AC38*H38+AD38*J38+T38</f>
        <v>18.777333333333335</v>
      </c>
      <c r="AF38" s="9">
        <f>AE38/maxTotalStarGen</f>
        <v>0.58560216227454653</v>
      </c>
      <c r="AG38" s="10">
        <f>(AA38+AF38)/2</f>
        <v>0.52457338822239619</v>
      </c>
      <c r="AH38" t="str">
        <f>CONCATENATE(D38,"|",B38,"|",C38,"|",E38,"|",ROUND(W38,2),"|",ROUND(X38,2),"|",ROUND(Y38,2),"|",ROUND(AB38,2),"|",ROUND(AC38,2),"|",ROUND(AD38,2),"|",ROUND(Z38,2),"|",ROUND(AE38,2),"|",ROUND(AA38*100,2),"%|",ROUND(AF38*100,2),"%|",ROUND(AG38*100,2),"%")</f>
        <v>Edmond Dantes|5|Avenger|QQABB|7.13|8.22|1.86|6.24|0.52|1.23|29.2|18.78|46.35%|58.56%|52.46%</v>
      </c>
    </row>
    <row r="39" spans="1:34" x14ac:dyDescent="0.25">
      <c r="A39">
        <v>150</v>
      </c>
      <c r="B39">
        <v>5</v>
      </c>
      <c r="C39" t="s">
        <v>133</v>
      </c>
      <c r="D39" t="s">
        <v>158</v>
      </c>
      <c r="E39" t="s">
        <v>64</v>
      </c>
      <c r="F39" s="3">
        <v>1</v>
      </c>
      <c r="G39" s="3">
        <v>3</v>
      </c>
      <c r="H39" s="4">
        <v>3</v>
      </c>
      <c r="I39" s="4">
        <v>2</v>
      </c>
      <c r="J39" s="2">
        <v>1</v>
      </c>
      <c r="K39" s="2">
        <v>5</v>
      </c>
      <c r="L39" s="6">
        <v>0.81</v>
      </c>
      <c r="M39" s="5">
        <v>10.8</v>
      </c>
      <c r="N39" s="3">
        <f>50/7</f>
        <v>7.1428571428571432</v>
      </c>
      <c r="O39" s="4">
        <v>6</v>
      </c>
      <c r="P39" s="2">
        <f>50*3/6</f>
        <v>25</v>
      </c>
      <c r="Q39" s="6">
        <v>0</v>
      </c>
      <c r="R39" s="5">
        <v>0</v>
      </c>
      <c r="S39" s="6">
        <f>5+20/5</f>
        <v>9</v>
      </c>
      <c r="T39" s="5">
        <v>0</v>
      </c>
      <c r="U39">
        <f>VLOOKUP(C39,classOrder,2,FALSE)</f>
        <v>6</v>
      </c>
      <c r="V39" s="7">
        <f>F39+H39+J39</f>
        <v>5</v>
      </c>
      <c r="W39" s="12">
        <f>L39*(firstCardNpBonus+VLOOKUP($W$1, cardNpValue, 2, FALSE)*(1+(N39/100))*(1+(Q39/100)))*G39</f>
        <v>6.3353571428571431</v>
      </c>
      <c r="X39" s="13">
        <f>L39*(firstCardNpBonus+VLOOKUP($X$1, cardNpValue, 2,FALSE)*(1+(O39/100))*(1+(Q39/100)))*I39</f>
        <v>9.3474000000000022</v>
      </c>
      <c r="Y39" s="14">
        <f>L39*(firstCardNpBonus+VLOOKUP($Y$1, cardNpValue, 2,FALSE)*(1+(P39/100))*(1+(Q39/100)))*K39</f>
        <v>4.0500000000000007</v>
      </c>
      <c r="Z39" s="15">
        <f>F39*W39+H39*X39+J39*Y39+S39</f>
        <v>47.427557142857154</v>
      </c>
      <c r="AA39" s="8">
        <f>Z39/maxTotalNpGain</f>
        <v>0.75303266575862304</v>
      </c>
      <c r="AB39" s="12">
        <f>((M39/100)+firstCardStarBonus+VLOOKUP($AB$1, cardStarValue, 2, FALSE)*(1+(N39/100))+(R39/100))*G39</f>
        <v>5.1025714285714283</v>
      </c>
      <c r="AC39" s="13">
        <f>((M39/100)+firstCardStarBonus+VLOOKUP($AC$1, cardStarValue, 2,FALSE )*(1+(O39/100))+(R39/100))*I39</f>
        <v>0.6160000000000001</v>
      </c>
      <c r="AD39" s="14">
        <f>((M39/100)+firstCardStarBonus+VLOOKUP($AD$1, cardStarValue, 2, FALSE)*(1+(P39/100))+(R39/100))*K39</f>
        <v>2.4775</v>
      </c>
      <c r="AE39" s="11">
        <f>AB39*F39+AC39*H39+AD39*J39+T39</f>
        <v>9.4280714285714282</v>
      </c>
      <c r="AF39" s="9">
        <f>AE39/maxTotalStarGen</f>
        <v>0.29402998373838857</v>
      </c>
      <c r="AG39" s="10">
        <f>(AA39+AF39)/2</f>
        <v>0.52353132474850583</v>
      </c>
      <c r="AH39" t="str">
        <f>CONCATENATE(D39,"|",B39,"|",C39,"|",E39,"|",ROUND(W39,2),"|",ROUND(X39,2),"|",ROUND(Y39,2),"|",ROUND(AB39,2),"|",ROUND(AC39,2),"|",ROUND(AD39,2),"|",ROUND(Z39,2),"|",ROUND(AE39,2),"|",ROUND(AA39*100,2),"%|",ROUND(AF39*100,2),"%|",ROUND(AG39*100,2),"%")</f>
        <v>Merlin|5|Caster|QAAAB|6.34|9.35|4.05|5.1|0.62|2.48|47.43|9.43|75.3%|29.4%|52.35%</v>
      </c>
    </row>
    <row r="40" spans="1:34" x14ac:dyDescent="0.25">
      <c r="A40">
        <v>166</v>
      </c>
      <c r="B40">
        <v>4</v>
      </c>
      <c r="C40" t="s">
        <v>219</v>
      </c>
      <c r="D40" t="s">
        <v>220</v>
      </c>
      <c r="E40" t="s">
        <v>67</v>
      </c>
      <c r="F40" s="3">
        <v>2</v>
      </c>
      <c r="G40" s="3">
        <v>4</v>
      </c>
      <c r="H40" s="4">
        <v>2</v>
      </c>
      <c r="I40" s="4">
        <v>3</v>
      </c>
      <c r="J40" s="2">
        <v>1</v>
      </c>
      <c r="K40" s="2">
        <v>1</v>
      </c>
      <c r="L40" s="6">
        <v>0.61</v>
      </c>
      <c r="M40" s="5">
        <v>14.7</v>
      </c>
      <c r="N40" s="3">
        <v>0</v>
      </c>
      <c r="O40" s="4">
        <v>10</v>
      </c>
      <c r="P40" s="2">
        <v>0</v>
      </c>
      <c r="Q40" s="6">
        <v>0</v>
      </c>
      <c r="R40" s="5">
        <v>0</v>
      </c>
      <c r="S40" s="6">
        <v>0</v>
      </c>
      <c r="T40" s="5">
        <v>0</v>
      </c>
      <c r="U40">
        <f>VLOOKUP(C40,classOrder,2,FALSE)</f>
        <v>11</v>
      </c>
      <c r="V40" s="7">
        <f>F40+H40+J40</f>
        <v>5</v>
      </c>
      <c r="W40" s="12">
        <f>L40*(firstCardNpBonus+VLOOKUP($W$1, cardNpValue, 2, FALSE)*(1+(N40/100))*(1+(Q40/100)))*G40</f>
        <v>6.1</v>
      </c>
      <c r="X40" s="13">
        <f>L40*(firstCardNpBonus+VLOOKUP($X$1, cardNpValue, 2,FALSE)*(1+(O40/100))*(1+(Q40/100)))*I40</f>
        <v>10.888500000000001</v>
      </c>
      <c r="Y40" s="14">
        <f>L40*(firstCardNpBonus+VLOOKUP($Y$1, cardNpValue, 2,FALSE)*(1+(P40/100))*(1+(Q40/100)))*K40</f>
        <v>0.61</v>
      </c>
      <c r="Z40" s="15">
        <f>F40*W40+H40*X40+J40*Y40+S40</f>
        <v>34.587000000000003</v>
      </c>
      <c r="AA40" s="8">
        <f>Z40/maxTotalNpGain</f>
        <v>0.54915627916788112</v>
      </c>
      <c r="AB40" s="12">
        <f>((M40/100)+firstCardStarBonus+VLOOKUP($AB$1, cardStarValue, 2, FALSE)*(1+(N40/100))+(R40/100))*G40</f>
        <v>6.5880000000000001</v>
      </c>
      <c r="AC40" s="13">
        <f>((M40/100)+firstCardStarBonus+VLOOKUP($AC$1, cardStarValue, 2,FALSE )*(1+(O40/100))+(R40/100))*I40</f>
        <v>1.0409999999999999</v>
      </c>
      <c r="AD40" s="14">
        <f>((M40/100)+firstCardStarBonus+VLOOKUP($AD$1, cardStarValue, 2, FALSE)*(1+(P40/100))+(R40/100))*K40</f>
        <v>0.497</v>
      </c>
      <c r="AE40" s="11">
        <f>AB40*F40+AC40*H40+AD40*J40+T40</f>
        <v>15.754999999999999</v>
      </c>
      <c r="AF40" s="9">
        <f>AE40/maxTotalStarGen</f>
        <v>0.49134570403867145</v>
      </c>
      <c r="AG40" s="10">
        <f>(AA40+AF40)/2</f>
        <v>0.52025099160327626</v>
      </c>
      <c r="AH40" t="str">
        <f>CONCATENATE(D40,"|",B40,"|",C40,"|",E40,"|",ROUND(W40,2),"|",ROUND(X40,2),"|",ROUND(Y40,2),"|",ROUND(AB40,2),"|",ROUND(AC40,2),"|",ROUND(AD40,2),"|",ROUND(Z40,2),"|",ROUND(AE40,2),"|",ROUND(AA40*100,2),"%|",ROUND(AF40*100,2),"%|",ROUND(AG40*100,2),"%")</f>
        <v>BB|4|Moon Cancer|QQAAB|6.1|10.89|0.61|6.59|1.04|0.5|34.59|15.76|54.92%|49.13%|52.03%</v>
      </c>
    </row>
    <row r="41" spans="1:34" x14ac:dyDescent="0.25">
      <c r="A41">
        <v>112</v>
      </c>
      <c r="B41">
        <v>5</v>
      </c>
      <c r="C41" t="s">
        <v>164</v>
      </c>
      <c r="D41" t="s">
        <v>178</v>
      </c>
      <c r="E41" t="s">
        <v>67</v>
      </c>
      <c r="F41" s="3">
        <v>2</v>
      </c>
      <c r="G41" s="3">
        <v>4</v>
      </c>
      <c r="H41" s="4">
        <v>2</v>
      </c>
      <c r="I41" s="4">
        <v>3</v>
      </c>
      <c r="J41" s="2">
        <v>1</v>
      </c>
      <c r="K41" s="2">
        <v>1</v>
      </c>
      <c r="L41" s="6">
        <v>0.55000000000000004</v>
      </c>
      <c r="M41" s="5">
        <v>25</v>
      </c>
      <c r="N41" s="3">
        <v>0</v>
      </c>
      <c r="O41" s="4">
        <v>0</v>
      </c>
      <c r="P41" s="2">
        <v>0</v>
      </c>
      <c r="Q41" s="6">
        <v>0</v>
      </c>
      <c r="R41" s="5">
        <v>6</v>
      </c>
      <c r="S41" s="6">
        <v>0</v>
      </c>
      <c r="T41" s="5">
        <v>0</v>
      </c>
      <c r="U41">
        <f>VLOOKUP(C41,classOrder,2,FALSE)</f>
        <v>7</v>
      </c>
      <c r="V41" s="7">
        <f>F41+H41+J41</f>
        <v>5</v>
      </c>
      <c r="W41" s="12">
        <f>L41*(firstCardNpBonus+VLOOKUP($W$1, cardNpValue, 2, FALSE)*(1+(N41/100))*(1+(Q41/100)))*G41</f>
        <v>5.5</v>
      </c>
      <c r="X41" s="13">
        <f>L41*(firstCardNpBonus+VLOOKUP($X$1, cardNpValue, 2,FALSE)*(1+(O41/100))*(1+(Q41/100)))*I41</f>
        <v>9.0750000000000011</v>
      </c>
      <c r="Y41" s="14">
        <f>L41*(firstCardNpBonus+VLOOKUP($Y$1, cardNpValue, 2,FALSE)*(1+(P41/100))*(1+(Q41/100)))*K41</f>
        <v>0.55000000000000004</v>
      </c>
      <c r="Z41" s="15">
        <f>F41*W41+H41*X41+J41*Y41+S41</f>
        <v>29.700000000000003</v>
      </c>
      <c r="AA41" s="8">
        <f>Z41/maxTotalNpGain</f>
        <v>0.47156276899661925</v>
      </c>
      <c r="AB41" s="12">
        <f>((M41/100)+firstCardStarBonus+VLOOKUP($AB$1, cardStarValue, 2, FALSE)*(1+(N41/100))+(R41/100))*G41</f>
        <v>7.24</v>
      </c>
      <c r="AC41" s="13">
        <f>((M41/100)+firstCardStarBonus+VLOOKUP($AC$1, cardStarValue, 2,FALSE )*(1+(O41/100))+(R41/100))*I41</f>
        <v>1.53</v>
      </c>
      <c r="AD41" s="14">
        <f>((M41/100)+firstCardStarBonus+VLOOKUP($AD$1, cardStarValue, 2, FALSE)*(1+(P41/100))+(R41/100))*K41</f>
        <v>0.65999999999999992</v>
      </c>
      <c r="AE41" s="11">
        <f>AB41*F41+AC41*H41+AD41*J41+T41</f>
        <v>18.2</v>
      </c>
      <c r="AF41" s="9">
        <f>AE41/maxTotalStarGen</f>
        <v>0.56759706845470137</v>
      </c>
      <c r="AG41" s="10">
        <f>(AA41+AF41)/2</f>
        <v>0.51957991872566034</v>
      </c>
      <c r="AH41" t="str">
        <f>CONCATENATE(D41,"|",B41,"|",C41,"|",E41,"|",ROUND(W41,2),"|",ROUND(X41,2),"|",ROUND(Y41,2),"|",ROUND(AB41,2),"|",ROUND(AC41,2),"|",ROUND(AD41,2),"|",ROUND(Z41,2),"|",ROUND(AE41,2),"|",ROUND(AA41*100,2),"%|",ROUND(AF41*100,2),"%|",ROUND(AG41*100,2),"%")</f>
        <v>Shuten Douji|5|Assassin|QQAAB|5.5|9.08|0.55|7.24|1.53|0.66|29.7|18.2|47.16%|56.76%|51.96%</v>
      </c>
    </row>
    <row r="42" spans="1:34" x14ac:dyDescent="0.25">
      <c r="A42">
        <v>103</v>
      </c>
      <c r="B42">
        <v>4</v>
      </c>
      <c r="C42" t="s">
        <v>133</v>
      </c>
      <c r="D42" t="s">
        <v>149</v>
      </c>
      <c r="E42" t="s">
        <v>64</v>
      </c>
      <c r="F42" s="3">
        <v>1</v>
      </c>
      <c r="G42" s="3">
        <v>3</v>
      </c>
      <c r="H42" s="4">
        <v>3</v>
      </c>
      <c r="I42" s="4">
        <v>3</v>
      </c>
      <c r="J42" s="2">
        <v>1</v>
      </c>
      <c r="K42" s="2">
        <v>3</v>
      </c>
      <c r="L42" s="6">
        <v>0.51</v>
      </c>
      <c r="M42" s="5">
        <v>10.6</v>
      </c>
      <c r="N42" s="3">
        <v>0</v>
      </c>
      <c r="O42" s="4">
        <v>4</v>
      </c>
      <c r="P42" s="2">
        <v>0</v>
      </c>
      <c r="Q42" s="6">
        <v>0</v>
      </c>
      <c r="R42" s="5">
        <f>30/6</f>
        <v>5</v>
      </c>
      <c r="S42" s="6">
        <f>10*5/10</f>
        <v>5</v>
      </c>
      <c r="T42" s="5">
        <f>10*5/10</f>
        <v>5</v>
      </c>
      <c r="U42">
        <f>VLOOKUP(C42,classOrder,2,FALSE)</f>
        <v>6</v>
      </c>
      <c r="V42" s="7">
        <v>0</v>
      </c>
      <c r="W42" s="12">
        <f>L42*(firstCardNpBonus+VLOOKUP($W$1, cardNpValue, 2, FALSE)*(1+(N42/100))*(1+(Q42/100)))*G42</f>
        <v>3.8249999999999997</v>
      </c>
      <c r="X42" s="13">
        <f>L42*(firstCardNpBonus+VLOOKUP($X$1, cardNpValue, 2,FALSE)*(1+(O42/100))*(1+(Q42/100)))*I42</f>
        <v>8.6904000000000003</v>
      </c>
      <c r="Y42" s="14">
        <f>L42*(firstCardNpBonus+VLOOKUP($Y$1, cardNpValue, 2,FALSE)*(1+(P42/100))*(1+(Q42/100)))*K42</f>
        <v>1.53</v>
      </c>
      <c r="Z42" s="15">
        <f>F42*W42+H42*X42+J42*Y42+S42</f>
        <v>36.426200000000001</v>
      </c>
      <c r="AA42" s="8">
        <f>Z42/maxTotalNpGain</f>
        <v>0.57835824027019023</v>
      </c>
      <c r="AB42" s="12">
        <f>((M42/100)+firstCardStarBonus+VLOOKUP($AB$1, cardStarValue, 2, FALSE)*(1+(N42/100))+(R42/100))*G42</f>
        <v>4.968</v>
      </c>
      <c r="AC42" s="13">
        <f>((M42/100)+firstCardStarBonus+VLOOKUP($AC$1, cardStarValue, 2,FALSE )*(1+(O42/100))+(R42/100))*I42</f>
        <v>1.0680000000000001</v>
      </c>
      <c r="AD42" s="14">
        <f>((M42/100)+firstCardStarBonus+VLOOKUP($AD$1, cardStarValue, 2, FALSE)*(1+(P42/100))+(R42/100))*K42</f>
        <v>1.518</v>
      </c>
      <c r="AE42" s="11">
        <f>AB42*F42+AC42*H42+AD42*J42+T42</f>
        <v>14.690000000000001</v>
      </c>
      <c r="AF42" s="9">
        <f>AE42/maxTotalStarGen</f>
        <v>0.45813191953843763</v>
      </c>
      <c r="AG42" s="10">
        <f>(AA42+AF42)/2</f>
        <v>0.5182450799043139</v>
      </c>
      <c r="AH42" t="str">
        <f>CONCATENATE(D42,"|",B42,"|",C42,"|",E42,"|",ROUND(W42,2),"|",ROUND(X42,2),"|",ROUND(Y42,2),"|",ROUND(AB42,2),"|",ROUND(AC42,2),"|",ROUND(AD42,2),"|",ROUND(Z42,2),"|",ROUND(AE42,2),"|",ROUND(AA42*100,2),"%|",ROUND(AF42*100,2),"%|",ROUND(AG42*100,2),"%")</f>
        <v>Thomas Edison|4|Caster|QAAAB|3.83|8.69|1.53|4.97|1.07|1.52|36.43|14.69|57.84%|45.81%|51.82%</v>
      </c>
    </row>
    <row r="43" spans="1:34" x14ac:dyDescent="0.25">
      <c r="A43">
        <v>36</v>
      </c>
      <c r="B43">
        <v>1</v>
      </c>
      <c r="C43" t="s">
        <v>133</v>
      </c>
      <c r="D43" t="s">
        <v>139</v>
      </c>
      <c r="E43" t="s">
        <v>64</v>
      </c>
      <c r="F43" s="3">
        <v>1</v>
      </c>
      <c r="G43" s="3">
        <v>2</v>
      </c>
      <c r="H43" s="4">
        <v>3</v>
      </c>
      <c r="I43" s="4">
        <v>1</v>
      </c>
      <c r="J43" s="2">
        <v>1</v>
      </c>
      <c r="K43" s="2">
        <v>1</v>
      </c>
      <c r="L43" s="6">
        <v>1.6</v>
      </c>
      <c r="M43" s="5">
        <v>11</v>
      </c>
      <c r="N43" s="3">
        <v>0</v>
      </c>
      <c r="O43" s="4">
        <f>8+44/5</f>
        <v>16.8</v>
      </c>
      <c r="P43" s="2">
        <v>0</v>
      </c>
      <c r="Q43" s="6">
        <v>0</v>
      </c>
      <c r="R43" s="5">
        <v>0</v>
      </c>
      <c r="S43" s="6">
        <v>0</v>
      </c>
      <c r="T43" s="5">
        <f>50/6</f>
        <v>8.3333333333333339</v>
      </c>
      <c r="U43">
        <f>VLOOKUP(C43,classOrder,2,FALSE)</f>
        <v>6</v>
      </c>
      <c r="V43" s="7">
        <f>F43+H43+J43</f>
        <v>5</v>
      </c>
      <c r="W43" s="12">
        <f>L43*(firstCardNpBonus+VLOOKUP($W$1, cardNpValue, 2, FALSE)*(1+(N43/100))*(1+(Q43/100)))*G43</f>
        <v>8</v>
      </c>
      <c r="X43" s="13">
        <f>L43*(firstCardNpBonus+VLOOKUP($X$1, cardNpValue, 2,FALSE)*(1+(O43/100))*(1+(Q43/100)))*I43</f>
        <v>10.009599999999999</v>
      </c>
      <c r="Y43" s="14">
        <f>L43*(firstCardNpBonus+VLOOKUP($Y$1, cardNpValue, 2,FALSE)*(1+(P43/100))*(1+(Q43/100)))*K43</f>
        <v>1.6</v>
      </c>
      <c r="Z43" s="15">
        <f>F43*W43+H43*X43+J43*Y43+S43</f>
        <v>39.628799999999998</v>
      </c>
      <c r="AA43" s="8">
        <f>Z43/maxTotalNpGain</f>
        <v>0.62920763165027682</v>
      </c>
      <c r="AB43" s="12">
        <f>((M43/100)+firstCardStarBonus+VLOOKUP($AB$1, cardStarValue, 2, FALSE)*(1+(N43/100))+(R43/100))*G43</f>
        <v>3.22</v>
      </c>
      <c r="AC43" s="13">
        <f>((M43/100)+firstCardStarBonus+VLOOKUP($AC$1, cardStarValue, 2,FALSE )*(1+(O43/100))+(R43/100))*I43</f>
        <v>0.31</v>
      </c>
      <c r="AD43" s="14">
        <f>((M43/100)+firstCardStarBonus+VLOOKUP($AD$1, cardStarValue, 2, FALSE)*(1+(P43/100))+(R43/100))*K43</f>
        <v>0.45999999999999996</v>
      </c>
      <c r="AE43" s="11">
        <f>AB43*F43+AC43*H43+AD43*J43+T43</f>
        <v>12.943333333333335</v>
      </c>
      <c r="AF43" s="9">
        <f>AE43/maxTotalStarGen</f>
        <v>0.40365923384791319</v>
      </c>
      <c r="AG43" s="10">
        <f>(AA43+AF43)/2</f>
        <v>0.51643343274909503</v>
      </c>
      <c r="AH43" t="str">
        <f>CONCATENATE(D43,"|",B43,"|",C43,"|",E43,"|",ROUND(W43,2),"|",ROUND(X43,2),"|",ROUND(Y43,2),"|",ROUND(AB43,2),"|",ROUND(AC43,2),"|",ROUND(AD43,2),"|",ROUND(Z43,2),"|",ROUND(AE43,2),"|",ROUND(AA43*100,2),"%|",ROUND(AF43*100,2),"%|",ROUND(AG43*100,2),"%")</f>
        <v>Wolfgang Amadeus Mozart|1|Caster|QAAAB|8|10.01|1.6|3.22|0.31|0.46|39.63|12.94|62.92%|40.37%|51.64%</v>
      </c>
    </row>
    <row r="44" spans="1:34" x14ac:dyDescent="0.25">
      <c r="A44">
        <v>13</v>
      </c>
      <c r="B44">
        <v>3</v>
      </c>
      <c r="C44" t="s">
        <v>63</v>
      </c>
      <c r="D44" t="s">
        <v>66</v>
      </c>
      <c r="E44" t="s">
        <v>67</v>
      </c>
      <c r="F44" s="3">
        <v>2</v>
      </c>
      <c r="G44" s="3">
        <v>3</v>
      </c>
      <c r="H44" s="4">
        <v>2</v>
      </c>
      <c r="I44" s="4">
        <v>2</v>
      </c>
      <c r="J44" s="2">
        <v>1</v>
      </c>
      <c r="K44" s="2">
        <v>1</v>
      </c>
      <c r="L44" s="6">
        <v>0.87</v>
      </c>
      <c r="M44" s="5">
        <v>8</v>
      </c>
      <c r="N44" s="3">
        <v>0</v>
      </c>
      <c r="O44" s="4">
        <v>0</v>
      </c>
      <c r="P44" s="2">
        <v>0</v>
      </c>
      <c r="Q44" s="6">
        <f>30*3/6</f>
        <v>15</v>
      </c>
      <c r="R44" s="5">
        <v>0</v>
      </c>
      <c r="S44" s="6">
        <v>0</v>
      </c>
      <c r="T44" s="5">
        <f>20/6</f>
        <v>3.3333333333333335</v>
      </c>
      <c r="U44">
        <f>VLOOKUP(C44,classOrder,2,FALSE)</f>
        <v>3</v>
      </c>
      <c r="V44" s="7">
        <f>F44+H44+J44</f>
        <v>5</v>
      </c>
      <c r="W44" s="12">
        <f>L44*(firstCardNpBonus+VLOOKUP($W$1, cardNpValue, 2, FALSE)*(1+(N44/100))*(1+(Q44/100)))*G44</f>
        <v>7.1122499999999995</v>
      </c>
      <c r="X44" s="13">
        <f>L44*(firstCardNpBonus+VLOOKUP($X$1, cardNpValue, 2,FALSE)*(1+(O44/100))*(1+(Q44/100)))*I44</f>
        <v>10.7445</v>
      </c>
      <c r="Y44" s="14">
        <f>L44*(firstCardNpBonus+VLOOKUP($Y$1, cardNpValue, 2,FALSE)*(1+(P44/100))*(1+(Q44/100)))*K44</f>
        <v>0.87</v>
      </c>
      <c r="Z44" s="15">
        <f>F44*W44+H44*X44+J44*Y44+S44</f>
        <v>36.583499999999994</v>
      </c>
      <c r="AA44" s="8">
        <f>Z44/maxTotalNpGain</f>
        <v>0.58085577641709818</v>
      </c>
      <c r="AB44" s="12">
        <f>((M44/100)+firstCardStarBonus+VLOOKUP($AB$1, cardStarValue, 2, FALSE)*(1+(N44/100))+(R44/100))*G44</f>
        <v>4.74</v>
      </c>
      <c r="AC44" s="13">
        <f>((M44/100)+firstCardStarBonus+VLOOKUP($AC$1, cardStarValue, 2,FALSE )*(1+(O44/100))+(R44/100))*I44</f>
        <v>0.56000000000000005</v>
      </c>
      <c r="AD44" s="14">
        <f>((M44/100)+firstCardStarBonus+VLOOKUP($AD$1, cardStarValue, 2, FALSE)*(1+(P44/100))+(R44/100))*K44</f>
        <v>0.43000000000000005</v>
      </c>
      <c r="AE44" s="11">
        <f>AB44*F44+AC44*H44+AD44*J44+T44</f>
        <v>14.363333333333335</v>
      </c>
      <c r="AF44" s="9">
        <f>AE44/maxTotalStarGen</f>
        <v>0.44794427984822505</v>
      </c>
      <c r="AG44" s="10">
        <f>(AA44+AF44)/2</f>
        <v>0.51440002813266161</v>
      </c>
      <c r="AH44" t="str">
        <f>CONCATENATE(D44,"|",B44,"|",C44,"|",E44,"|",ROUND(W44,2),"|",ROUND(X44,2),"|",ROUND(Y44,2),"|",ROUND(AB44,2),"|",ROUND(AC44,2),"|",ROUND(AD44,2),"|",ROUND(Z44,2),"|",ROUND(AE44,2),"|",ROUND(AA44*100,2),"%|",ROUND(AF44*100,2),"%|",ROUND(AG44*100,2),"%")</f>
        <v>Robin Hood|3|Archer|QQAAB|7.11|10.74|0.87|4.74|0.56|0.43|36.58|14.36|58.09%|44.79%|51.44%</v>
      </c>
    </row>
    <row r="45" spans="1:34" x14ac:dyDescent="0.25">
      <c r="A45">
        <v>157</v>
      </c>
      <c r="B45">
        <v>4</v>
      </c>
      <c r="C45" t="s">
        <v>63</v>
      </c>
      <c r="D45" t="s">
        <v>86</v>
      </c>
      <c r="E45" t="s">
        <v>67</v>
      </c>
      <c r="F45" s="3">
        <v>2</v>
      </c>
      <c r="G45" s="3">
        <v>4</v>
      </c>
      <c r="H45" s="4">
        <v>2</v>
      </c>
      <c r="I45" s="4">
        <v>4</v>
      </c>
      <c r="J45" s="2">
        <v>1</v>
      </c>
      <c r="K45" s="2">
        <v>4</v>
      </c>
      <c r="L45" s="6">
        <v>0.43</v>
      </c>
      <c r="M45" s="5">
        <v>7.9</v>
      </c>
      <c r="N45" s="3">
        <f>30/5</f>
        <v>6</v>
      </c>
      <c r="O45" s="4">
        <f>30/5</f>
        <v>6</v>
      </c>
      <c r="P45" s="2">
        <f>30/5</f>
        <v>6</v>
      </c>
      <c r="Q45" s="6">
        <v>0</v>
      </c>
      <c r="R45" s="5">
        <v>0</v>
      </c>
      <c r="S45" s="6">
        <v>0</v>
      </c>
      <c r="T45" s="5">
        <v>0</v>
      </c>
      <c r="U45">
        <f>VLOOKUP(C45,classOrder,2,FALSE)</f>
        <v>3</v>
      </c>
      <c r="V45" s="7">
        <f>F45+H45+J45</f>
        <v>5</v>
      </c>
      <c r="W45" s="12">
        <f>L45*(firstCardNpBonus+VLOOKUP($W$1, cardNpValue, 2, FALSE)*(1+(N45/100))*(1+(Q45/100)))*G45</f>
        <v>4.4547999999999996</v>
      </c>
      <c r="X45" s="13">
        <f>L45*(firstCardNpBonus+VLOOKUP($X$1, cardNpValue, 2,FALSE)*(1+(O45/100))*(1+(Q45/100)))*I45</f>
        <v>9.9244000000000003</v>
      </c>
      <c r="Y45" s="14">
        <f>L45*(firstCardNpBonus+VLOOKUP($Y$1, cardNpValue, 2,FALSE)*(1+(P45/100))*(1+(Q45/100)))*K45</f>
        <v>1.72</v>
      </c>
      <c r="Z45" s="15">
        <f>F45*W45+H45*X45+J45*Y45+S45</f>
        <v>30.478400000000001</v>
      </c>
      <c r="AA45" s="8">
        <f>Z45/maxTotalNpGain</f>
        <v>0.48392184170325114</v>
      </c>
      <c r="AB45" s="12">
        <f>((M45/100)+firstCardStarBonus+VLOOKUP($AB$1, cardStarValue, 2, FALSE)*(1+(N45/100))+(R45/100))*G45</f>
        <v>6.6280000000000001</v>
      </c>
      <c r="AC45" s="13">
        <f>((M45/100)+firstCardStarBonus+VLOOKUP($AC$1, cardStarValue, 2,FALSE )*(1+(O45/100))+(R45/100))*I45</f>
        <v>1.1160000000000001</v>
      </c>
      <c r="AD45" s="14">
        <f>((M45/100)+firstCardStarBonus+VLOOKUP($AD$1, cardStarValue, 2, FALSE)*(1+(P45/100))+(R45/100))*K45</f>
        <v>1.7520000000000002</v>
      </c>
      <c r="AE45" s="11">
        <f>AB45*F45+AC45*H45+AD45*J45+T45</f>
        <v>17.239999999999998</v>
      </c>
      <c r="AF45" s="9">
        <f>AE45/maxTotalStarGen</f>
        <v>0.53765788242632151</v>
      </c>
      <c r="AG45" s="10">
        <f>(AA45+AF45)/2</f>
        <v>0.51078986206478638</v>
      </c>
      <c r="AH45" t="str">
        <f>CONCATENATE(D45,"|",B45,"|",C45,"|",E45,"|",ROUND(W45,2),"|",ROUND(X45,2),"|",ROUND(Y45,2),"|",ROUND(AB45,2),"|",ROUND(AC45,2),"|",ROUND(AD45,2),"|",ROUND(Z45,2),"|",ROUND(AE45,2),"|",ROUND(AA45*100,2),"%|",ROUND(AF45*100,2),"%|",ROUND(AG45*100,2),"%")</f>
        <v>EMIYA (Alter)|4|Archer|QQAAB|4.45|9.92|1.72|6.63|1.12|1.75|30.48|17.24|48.39%|53.77%|51.08%</v>
      </c>
    </row>
    <row r="46" spans="1:34" x14ac:dyDescent="0.25">
      <c r="A46">
        <v>119</v>
      </c>
      <c r="B46">
        <v>5</v>
      </c>
      <c r="C46" t="s">
        <v>91</v>
      </c>
      <c r="D46" t="s">
        <v>105</v>
      </c>
      <c r="E46" t="s">
        <v>36</v>
      </c>
      <c r="F46" s="3">
        <v>2</v>
      </c>
      <c r="G46" s="3">
        <v>3</v>
      </c>
      <c r="H46" s="4">
        <v>1</v>
      </c>
      <c r="I46" s="4">
        <v>2</v>
      </c>
      <c r="J46" s="2">
        <v>2</v>
      </c>
      <c r="K46" s="2">
        <v>1</v>
      </c>
      <c r="L46" s="6">
        <v>1.1000000000000001</v>
      </c>
      <c r="M46" s="5">
        <v>12.2</v>
      </c>
      <c r="N46" s="3">
        <v>10</v>
      </c>
      <c r="O46" s="4">
        <v>0</v>
      </c>
      <c r="P46" s="2">
        <f>50/5</f>
        <v>10</v>
      </c>
      <c r="Q46" s="6">
        <v>0</v>
      </c>
      <c r="R46" s="5">
        <v>0</v>
      </c>
      <c r="S46" s="6">
        <f>50/6</f>
        <v>8.3333333333333339</v>
      </c>
      <c r="T46" s="5">
        <v>0</v>
      </c>
      <c r="U46">
        <f>VLOOKUP(C46,classOrder,2,FALSE)</f>
        <v>4</v>
      </c>
      <c r="V46" s="7">
        <f>F46+H46+J46</f>
        <v>5</v>
      </c>
      <c r="W46" s="12">
        <f>L46*(firstCardNpBonus+VLOOKUP($W$1, cardNpValue, 2, FALSE)*(1+(N46/100))*(1+(Q46/100)))*G46</f>
        <v>8.745000000000001</v>
      </c>
      <c r="X46" s="13">
        <f>L46*(firstCardNpBonus+VLOOKUP($X$1, cardNpValue, 2,FALSE)*(1+(O46/100))*(1+(Q46/100)))*I46</f>
        <v>12.100000000000001</v>
      </c>
      <c r="Y46" s="14">
        <f>L46*(firstCardNpBonus+VLOOKUP($Y$1, cardNpValue, 2,FALSE)*(1+(P46/100))*(1+(Q46/100)))*K46</f>
        <v>1.1000000000000001</v>
      </c>
      <c r="Z46" s="15">
        <f>F46*W46+H46*X46+J46*Y46+S46</f>
        <v>40.123333333333335</v>
      </c>
      <c r="AA46" s="8">
        <f>Z46/maxTotalNpGain</f>
        <v>0.63705960161754271</v>
      </c>
      <c r="AB46" s="12">
        <f>((M46/100)+firstCardStarBonus+VLOOKUP($AB$1, cardStarValue, 2, FALSE)*(1+(N46/100))+(R46/100))*G46</f>
        <v>5.2560000000000002</v>
      </c>
      <c r="AC46" s="13">
        <f>((M46/100)+firstCardStarBonus+VLOOKUP($AC$1, cardStarValue, 2,FALSE )*(1+(O46/100))+(R46/100))*I46</f>
        <v>0.64400000000000002</v>
      </c>
      <c r="AD46" s="14">
        <f>((M46/100)+firstCardStarBonus+VLOOKUP($AD$1, cardStarValue, 2, FALSE)*(1+(P46/100))+(R46/100))*K46</f>
        <v>0.48699999999999999</v>
      </c>
      <c r="AE46" s="11">
        <f>AB46*F46+AC46*H46+AD46*J46+T46</f>
        <v>12.13</v>
      </c>
      <c r="AF46" s="9">
        <f>AE46/maxTotalStarGen</f>
        <v>0.37829409012942466</v>
      </c>
      <c r="AG46" s="10">
        <f>(AA46+AF46)/2</f>
        <v>0.50767684587348372</v>
      </c>
      <c r="AH46" t="str">
        <f>CONCATENATE(D46,"|",B46,"|",C46,"|",E46,"|",ROUND(W46,2),"|",ROUND(X46,2),"|",ROUND(Y46,2),"|",ROUND(AB46,2),"|",ROUND(AC46,2),"|",ROUND(AD46,2),"|",ROUND(Z46,2),"|",ROUND(AE46,2),"|",ROUND(AA46*100,2),"%|",ROUND(AF46*100,2),"%|",ROUND(AG46*100,2),"%")</f>
        <v>Artoria Pendragon (Lancer)|5|Lancer|QQABB|8.75|12.1|1.1|5.26|0.64|0.49|40.12|12.13|63.71%|37.83%|50.77%</v>
      </c>
    </row>
    <row r="47" spans="1:34" x14ac:dyDescent="0.25">
      <c r="A47">
        <v>42</v>
      </c>
      <c r="B47">
        <v>3</v>
      </c>
      <c r="C47" t="s">
        <v>164</v>
      </c>
      <c r="D47" t="s">
        <v>168</v>
      </c>
      <c r="E47" t="s">
        <v>111</v>
      </c>
      <c r="F47" s="3">
        <v>3</v>
      </c>
      <c r="G47" s="3">
        <v>2</v>
      </c>
      <c r="H47" s="4">
        <v>1</v>
      </c>
      <c r="I47" s="4">
        <v>2</v>
      </c>
      <c r="J47" s="2">
        <v>1</v>
      </c>
      <c r="K47" s="2">
        <v>1</v>
      </c>
      <c r="L47" s="6">
        <v>1.05</v>
      </c>
      <c r="M47" s="5">
        <v>25.2</v>
      </c>
      <c r="N47" s="3">
        <f>30/5</f>
        <v>6</v>
      </c>
      <c r="O47" s="4">
        <v>0</v>
      </c>
      <c r="P47" s="2">
        <v>0</v>
      </c>
      <c r="Q47" s="6">
        <v>0</v>
      </c>
      <c r="R47" s="5">
        <f>8+30*3/5</f>
        <v>26</v>
      </c>
      <c r="S47" s="6">
        <v>0</v>
      </c>
      <c r="T47" s="5">
        <f>15/5</f>
        <v>3</v>
      </c>
      <c r="U47">
        <f>VLOOKUP(C47,classOrder,2,FALSE)</f>
        <v>7</v>
      </c>
      <c r="V47" s="7">
        <f>F47+H47+J47</f>
        <v>5</v>
      </c>
      <c r="W47" s="12">
        <f>L47*(firstCardNpBonus+VLOOKUP($W$1, cardNpValue, 2, FALSE)*(1+(N47/100))*(1+(Q47/100)))*G47</f>
        <v>5.4390000000000001</v>
      </c>
      <c r="X47" s="13">
        <f>L47*(firstCardNpBonus+VLOOKUP($X$1, cardNpValue, 2,FALSE)*(1+(O47/100))*(1+(Q47/100)))*I47</f>
        <v>11.55</v>
      </c>
      <c r="Y47" s="14">
        <f>L47*(firstCardNpBonus+VLOOKUP($Y$1, cardNpValue, 2,FALSE)*(1+(P47/100))*(1+(Q47/100)))*K47</f>
        <v>1.05</v>
      </c>
      <c r="Z47" s="15">
        <f>F47*W47+H47*X47+J47*Y47+S47</f>
        <v>28.917000000000002</v>
      </c>
      <c r="AA47" s="8">
        <f>Z47/maxTotalNpGain</f>
        <v>0.45913065963216293</v>
      </c>
      <c r="AB47" s="12">
        <f>((M47/100)+firstCardStarBonus+VLOOKUP($AB$1, cardStarValue, 2, FALSE)*(1+(N47/100))+(R47/100))*G47</f>
        <v>4.18</v>
      </c>
      <c r="AC47" s="13">
        <f>((M47/100)+firstCardStarBonus+VLOOKUP($AC$1, cardStarValue, 2,FALSE )*(1+(O47/100))+(R47/100))*I47</f>
        <v>1.4239999999999999</v>
      </c>
      <c r="AD47" s="14">
        <f>((M47/100)+firstCardStarBonus+VLOOKUP($AD$1, cardStarValue, 2, FALSE)*(1+(P47/100))+(R47/100))*K47</f>
        <v>0.86199999999999999</v>
      </c>
      <c r="AE47" s="11">
        <f>AB47*F47+AC47*H47+AD47*J47+T47</f>
        <v>17.826000000000001</v>
      </c>
      <c r="AF47" s="9">
        <f>AE47/maxTotalStarGen</f>
        <v>0.55593326056447845</v>
      </c>
      <c r="AG47" s="10">
        <f>(AA47+AF47)/2</f>
        <v>0.50753196009832069</v>
      </c>
      <c r="AH47" t="str">
        <f>CONCATENATE(D47,"|",B47,"|",C47,"|",E47,"|",ROUND(W47,2),"|",ROUND(X47,2),"|",ROUND(Y47,2),"|",ROUND(AB47,2),"|",ROUND(AC47,2),"|",ROUND(AD47,2),"|",ROUND(Z47,2),"|",ROUND(AE47,2),"|",ROUND(AA47*100,2),"%|",ROUND(AF47*100,2),"%|",ROUND(AG47*100,2),"%")</f>
        <v>Jing Ke|3|Assassin|QQQAB|5.44|11.55|1.05|4.18|1.42|0.86|28.92|17.83|45.91%|55.59%|50.75%</v>
      </c>
    </row>
    <row r="48" spans="1:34" x14ac:dyDescent="0.25">
      <c r="A48">
        <v>15</v>
      </c>
      <c r="B48">
        <v>3</v>
      </c>
      <c r="C48" t="s">
        <v>63</v>
      </c>
      <c r="D48" t="s">
        <v>69</v>
      </c>
      <c r="E48" t="s">
        <v>67</v>
      </c>
      <c r="F48" s="3">
        <v>2</v>
      </c>
      <c r="G48" s="3">
        <v>3</v>
      </c>
      <c r="H48" s="4">
        <v>2</v>
      </c>
      <c r="I48" s="4">
        <v>2</v>
      </c>
      <c r="J48" s="2">
        <v>1</v>
      </c>
      <c r="K48" s="2">
        <v>1</v>
      </c>
      <c r="L48" s="6">
        <v>0.9</v>
      </c>
      <c r="M48" s="5">
        <v>7.9</v>
      </c>
      <c r="N48" s="3">
        <v>0</v>
      </c>
      <c r="O48" s="4">
        <f>30*3/5</f>
        <v>18</v>
      </c>
      <c r="P48" s="2">
        <v>0</v>
      </c>
      <c r="Q48" s="6">
        <v>0</v>
      </c>
      <c r="R48" s="5">
        <v>0</v>
      </c>
      <c r="S48" s="6">
        <f>27/6</f>
        <v>4.5</v>
      </c>
      <c r="T48" s="5">
        <v>0</v>
      </c>
      <c r="U48">
        <f>VLOOKUP(C48,classOrder,2,FALSE)</f>
        <v>3</v>
      </c>
      <c r="V48" s="7">
        <f>F48+H48+J48</f>
        <v>5</v>
      </c>
      <c r="W48" s="12">
        <f>L48*(firstCardNpBonus+VLOOKUP($W$1, cardNpValue, 2, FALSE)*(1+(N48/100))*(1+(Q48/100)))*G48</f>
        <v>6.75</v>
      </c>
      <c r="X48" s="13">
        <f>L48*(firstCardNpBonus+VLOOKUP($X$1, cardNpValue, 2,FALSE)*(1+(O48/100))*(1+(Q48/100)))*I48</f>
        <v>11.357999999999999</v>
      </c>
      <c r="Y48" s="14">
        <f>L48*(firstCardNpBonus+VLOOKUP($Y$1, cardNpValue, 2,FALSE)*(1+(P48/100))*(1+(Q48/100)))*K48</f>
        <v>0.9</v>
      </c>
      <c r="Z48" s="15">
        <f>F48*W48+H48*X48+J48*Y48+S48</f>
        <v>41.615999999999993</v>
      </c>
      <c r="AA48" s="8">
        <f>Z48/maxTotalNpGain</f>
        <v>0.66075946783041417</v>
      </c>
      <c r="AB48" s="12">
        <f>((M48/100)+firstCardStarBonus+VLOOKUP($AB$1, cardStarValue, 2, FALSE)*(1+(N48/100))+(R48/100))*G48</f>
        <v>4.7370000000000001</v>
      </c>
      <c r="AC48" s="13">
        <f>((M48/100)+firstCardStarBonus+VLOOKUP($AC$1, cardStarValue, 2,FALSE )*(1+(O48/100))+(R48/100))*I48</f>
        <v>0.55800000000000005</v>
      </c>
      <c r="AD48" s="14">
        <f>((M48/100)+firstCardStarBonus+VLOOKUP($AD$1, cardStarValue, 2, FALSE)*(1+(P48/100))+(R48/100))*K48</f>
        <v>0.42900000000000005</v>
      </c>
      <c r="AE48" s="11">
        <f>AB48*F48+AC48*H48+AD48*J48+T48</f>
        <v>11.019</v>
      </c>
      <c r="AF48" s="9">
        <f>AE48/maxTotalStarGen</f>
        <v>0.34364571963199753</v>
      </c>
      <c r="AG48" s="10">
        <f>(AA48+AF48)/2</f>
        <v>0.50220259373120579</v>
      </c>
      <c r="AH48" t="str">
        <f>CONCATENATE(D48,"|",B48,"|",C48,"|",E48,"|",ROUND(W48,2),"|",ROUND(X48,2),"|",ROUND(Y48,2),"|",ROUND(AB48,2),"|",ROUND(AC48,2),"|",ROUND(AD48,2),"|",ROUND(Z48,2),"|",ROUND(AE48,2),"|",ROUND(AA48*100,2),"%|",ROUND(AF48*100,2),"%|",ROUND(AG48*100,2),"%")</f>
        <v>Euryale|3|Archer|QQAAB|6.75|11.36|0.9|4.74|0.56|0.43|41.62|11.02|66.08%|34.36%|50.22%</v>
      </c>
    </row>
    <row r="49" spans="1:34" x14ac:dyDescent="0.25">
      <c r="A49">
        <v>61</v>
      </c>
      <c r="B49">
        <v>4</v>
      </c>
      <c r="C49" t="s">
        <v>133</v>
      </c>
      <c r="D49" t="s">
        <v>142</v>
      </c>
      <c r="E49" t="s">
        <v>64</v>
      </c>
      <c r="F49" s="3">
        <v>1</v>
      </c>
      <c r="G49" s="3">
        <v>2</v>
      </c>
      <c r="H49" s="4">
        <v>3</v>
      </c>
      <c r="I49" s="4">
        <v>1</v>
      </c>
      <c r="J49" s="2">
        <v>1</v>
      </c>
      <c r="K49" s="2">
        <v>1</v>
      </c>
      <c r="L49" s="6">
        <v>1.6</v>
      </c>
      <c r="M49" s="5">
        <v>10.8</v>
      </c>
      <c r="N49" s="3">
        <v>0</v>
      </c>
      <c r="O49" s="4">
        <v>8</v>
      </c>
      <c r="P49" s="2">
        <f>45/5</f>
        <v>9</v>
      </c>
      <c r="Q49" s="6">
        <v>0</v>
      </c>
      <c r="R49" s="5">
        <v>0</v>
      </c>
      <c r="S49" s="6">
        <v>0</v>
      </c>
      <c r="T49" s="5">
        <f>12*3/5+8/7</f>
        <v>8.3428571428571434</v>
      </c>
      <c r="U49">
        <f>VLOOKUP(C49,classOrder,2,FALSE)</f>
        <v>6</v>
      </c>
      <c r="V49" s="7">
        <f>F49+H49+J49</f>
        <v>5</v>
      </c>
      <c r="W49" s="12">
        <f>L49*(firstCardNpBonus+VLOOKUP($W$1, cardNpValue, 2, FALSE)*(1+(N49/100))*(1+(Q49/100)))*G49</f>
        <v>8</v>
      </c>
      <c r="X49" s="13">
        <f>L49*(firstCardNpBonus+VLOOKUP($X$1, cardNpValue, 2,FALSE)*(1+(O49/100))*(1+(Q49/100)))*I49</f>
        <v>9.3760000000000012</v>
      </c>
      <c r="Y49" s="14">
        <f>L49*(firstCardNpBonus+VLOOKUP($Y$1, cardNpValue, 2,FALSE)*(1+(P49/100))*(1+(Q49/100)))*K49</f>
        <v>1.6</v>
      </c>
      <c r="Z49" s="15">
        <f>F49*W49+H49*X49+J49*Y49+S49</f>
        <v>37.728000000000002</v>
      </c>
      <c r="AA49" s="8">
        <f>Z49/maxTotalNpGain</f>
        <v>0.59902761443449326</v>
      </c>
      <c r="AB49" s="12">
        <f>((M49/100)+firstCardStarBonus+VLOOKUP($AB$1, cardStarValue, 2, FALSE)*(1+(N49/100))+(R49/100))*G49</f>
        <v>3.2160000000000002</v>
      </c>
      <c r="AC49" s="13">
        <f>((M49/100)+firstCardStarBonus+VLOOKUP($AC$1, cardStarValue, 2,FALSE )*(1+(O49/100))+(R49/100))*I49</f>
        <v>0.30800000000000005</v>
      </c>
      <c r="AD49" s="14">
        <f>((M49/100)+firstCardStarBonus+VLOOKUP($AD$1, cardStarValue, 2, FALSE)*(1+(P49/100))+(R49/100))*K49</f>
        <v>0.47150000000000003</v>
      </c>
      <c r="AE49" s="11">
        <f>AB49*F49+AC49*H49+AD49*J49+T49</f>
        <v>12.954357142857145</v>
      </c>
      <c r="AF49" s="9">
        <f>AE49/maxTotalStarGen</f>
        <v>0.40400302956049106</v>
      </c>
      <c r="AG49" s="10">
        <f>(AA49+AF49)/2</f>
        <v>0.50151532199749216</v>
      </c>
      <c r="AH49" t="str">
        <f>CONCATENATE(D49,"|",B49,"|",C49,"|",E49,"|",ROUND(W49,2),"|",ROUND(X49,2),"|",ROUND(Y49,2),"|",ROUND(AB49,2),"|",ROUND(AC49,2),"|",ROUND(AD49,2),"|",ROUND(Z49,2),"|",ROUND(AE49,2),"|",ROUND(AA49*100,2),"%|",ROUND(AF49*100,2),"%|",ROUND(AG49*100,2),"%")</f>
        <v>Elizabeth Bathory (Halloween)|4|Caster|QAAAB|8|9.38|1.6|3.22|0.31|0.47|37.73|12.95|59.9%|40.4%|50.15%</v>
      </c>
    </row>
    <row r="50" spans="1:34" x14ac:dyDescent="0.25">
      <c r="A50">
        <v>44</v>
      </c>
      <c r="B50">
        <v>2</v>
      </c>
      <c r="C50" t="s">
        <v>164</v>
      </c>
      <c r="D50" t="s">
        <v>170</v>
      </c>
      <c r="E50" t="s">
        <v>111</v>
      </c>
      <c r="F50" s="3">
        <v>3</v>
      </c>
      <c r="G50" s="3">
        <v>2</v>
      </c>
      <c r="H50" s="4">
        <v>1</v>
      </c>
      <c r="I50" s="4">
        <v>3</v>
      </c>
      <c r="J50" s="2">
        <v>1</v>
      </c>
      <c r="K50" s="2">
        <v>2</v>
      </c>
      <c r="L50" s="6">
        <v>0.71</v>
      </c>
      <c r="M50" s="5">
        <v>25.2</v>
      </c>
      <c r="N50" s="3">
        <v>0</v>
      </c>
      <c r="O50" s="4">
        <v>0</v>
      </c>
      <c r="P50" s="2">
        <v>0</v>
      </c>
      <c r="Q50" s="6">
        <v>0</v>
      </c>
      <c r="R50" s="5">
        <v>10</v>
      </c>
      <c r="S50" s="6">
        <v>0</v>
      </c>
      <c r="T50" s="5">
        <f>9*3/5</f>
        <v>5.4</v>
      </c>
      <c r="U50">
        <f>VLOOKUP(C50,classOrder,2,FALSE)</f>
        <v>7</v>
      </c>
      <c r="V50" s="7">
        <f>F50+H50+J50</f>
        <v>5</v>
      </c>
      <c r="W50" s="12">
        <f>L50*(firstCardNpBonus+VLOOKUP($W$1, cardNpValue, 2, FALSE)*(1+(N50/100))*(1+(Q50/100)))*G50</f>
        <v>3.55</v>
      </c>
      <c r="X50" s="13">
        <f>L50*(firstCardNpBonus+VLOOKUP($X$1, cardNpValue, 2,FALSE)*(1+(O50/100))*(1+(Q50/100)))*I50</f>
        <v>11.715</v>
      </c>
      <c r="Y50" s="14">
        <f>L50*(firstCardNpBonus+VLOOKUP($Y$1, cardNpValue, 2,FALSE)*(1+(P50/100))*(1+(Q50/100)))*K50</f>
        <v>1.42</v>
      </c>
      <c r="Z50" s="15">
        <f>F50*W50+H50*X50+J50*Y50+S50</f>
        <v>23.784999999999997</v>
      </c>
      <c r="AA50" s="8">
        <f>Z50/maxTotalNpGain</f>
        <v>0.37764715355503659</v>
      </c>
      <c r="AB50" s="12">
        <f>((M50/100)+firstCardStarBonus+VLOOKUP($AB$1, cardStarValue, 2, FALSE)*(1+(N50/100))+(R50/100))*G50</f>
        <v>3.7040000000000002</v>
      </c>
      <c r="AC50" s="13">
        <f>((M50/100)+firstCardStarBonus+VLOOKUP($AC$1, cardStarValue, 2,FALSE )*(1+(O50/100))+(R50/100))*I50</f>
        <v>1.6560000000000001</v>
      </c>
      <c r="AD50" s="14">
        <f>((M50/100)+firstCardStarBonus+VLOOKUP($AD$1, cardStarValue, 2, FALSE)*(1+(P50/100))+(R50/100))*K50</f>
        <v>1.4039999999999999</v>
      </c>
      <c r="AE50" s="11">
        <f>AB50*F50+AC50*H50+AD50*J50+T50</f>
        <v>19.572000000000003</v>
      </c>
      <c r="AF50" s="9">
        <f>AE50/maxTotalStarGen</f>
        <v>0.61038515515359437</v>
      </c>
      <c r="AG50" s="10">
        <f>(AA50+AF50)/2</f>
        <v>0.49401615435431545</v>
      </c>
      <c r="AH50" t="str">
        <f>CONCATENATE(D50,"|",B50,"|",C50,"|",E50,"|",ROUND(W50,2),"|",ROUND(X50,2),"|",ROUND(Y50,2),"|",ROUND(AB50,2),"|",ROUND(AC50,2),"|",ROUND(AD50,2),"|",ROUND(Z50,2),"|",ROUND(AE50,2),"|",ROUND(AA50*100,2),"%|",ROUND(AF50*100,2),"%|",ROUND(AG50*100,2),"%")</f>
        <v>The Phantom of the Opera|2|Assassin|QQQAB|3.55|11.72|1.42|3.7|1.66|1.4|23.79|19.57|37.76%|61.04%|49.4%</v>
      </c>
    </row>
    <row r="51" spans="1:34" x14ac:dyDescent="0.25">
      <c r="A51">
        <v>148</v>
      </c>
      <c r="B51">
        <v>3</v>
      </c>
      <c r="C51" t="s">
        <v>91</v>
      </c>
      <c r="D51" t="s">
        <v>113</v>
      </c>
      <c r="E51" t="s">
        <v>36</v>
      </c>
      <c r="F51" s="3">
        <v>2</v>
      </c>
      <c r="G51" s="3">
        <v>2</v>
      </c>
      <c r="H51" s="4">
        <v>1</v>
      </c>
      <c r="I51" s="4">
        <v>2</v>
      </c>
      <c r="J51" s="2">
        <v>2</v>
      </c>
      <c r="K51" s="2">
        <v>4</v>
      </c>
      <c r="L51" s="6">
        <v>1.05</v>
      </c>
      <c r="M51" s="5">
        <v>12</v>
      </c>
      <c r="N51" s="3">
        <v>0</v>
      </c>
      <c r="O51" s="4">
        <v>0</v>
      </c>
      <c r="P51" s="2">
        <f>2+30*3/10</f>
        <v>11</v>
      </c>
      <c r="Q51" s="6">
        <v>0</v>
      </c>
      <c r="R51" s="5">
        <f>50*3/6</f>
        <v>25</v>
      </c>
      <c r="S51" s="6">
        <v>0</v>
      </c>
      <c r="T51" s="5">
        <f>15/10</f>
        <v>1.5</v>
      </c>
      <c r="U51">
        <f>VLOOKUP(C51,classOrder,2,FALSE)</f>
        <v>4</v>
      </c>
      <c r="V51" s="7">
        <f>F51+H51+J51</f>
        <v>5</v>
      </c>
      <c r="W51" s="12">
        <f>L51*(firstCardNpBonus+VLOOKUP($W$1, cardNpValue, 2, FALSE)*(1+(N51/100))*(1+(Q51/100)))*G51</f>
        <v>5.25</v>
      </c>
      <c r="X51" s="13">
        <f>L51*(firstCardNpBonus+VLOOKUP($X$1, cardNpValue, 2,FALSE)*(1+(O51/100))*(1+(Q51/100)))*I51</f>
        <v>11.55</v>
      </c>
      <c r="Y51" s="14">
        <f>L51*(firstCardNpBonus+VLOOKUP($Y$1, cardNpValue, 2,FALSE)*(1+(P51/100))*(1+(Q51/100)))*K51</f>
        <v>4.2</v>
      </c>
      <c r="Z51" s="15">
        <f>F51*W51+H51*X51+J51*Y51+S51</f>
        <v>30.450000000000003</v>
      </c>
      <c r="AA51" s="8">
        <f>Z51/maxTotalNpGain</f>
        <v>0.48347091972885708</v>
      </c>
      <c r="AB51" s="12">
        <f>((M51/100)+firstCardStarBonus+VLOOKUP($AB$1, cardStarValue, 2, FALSE)*(1+(N51/100))+(R51/100))*G51</f>
        <v>3.74</v>
      </c>
      <c r="AC51" s="13">
        <f>((M51/100)+firstCardStarBonus+VLOOKUP($AC$1, cardStarValue, 2,FALSE )*(1+(O51/100))+(R51/100))*I51</f>
        <v>1.1400000000000001</v>
      </c>
      <c r="AD51" s="14">
        <f>((M51/100)+firstCardStarBonus+VLOOKUP($AD$1, cardStarValue, 2, FALSE)*(1+(P51/100))+(R51/100))*K51</f>
        <v>2.9460000000000002</v>
      </c>
      <c r="AE51" s="11">
        <f>AB51*F51+AC51*H51+AD51*J51+T51</f>
        <v>16.012</v>
      </c>
      <c r="AF51" s="9">
        <f>AE51/maxTotalStarGen</f>
        <v>0.49936067363168568</v>
      </c>
      <c r="AG51" s="10">
        <f>(AA51+AF51)/2</f>
        <v>0.49141579668027136</v>
      </c>
      <c r="AH51" t="str">
        <f>CONCATENATE(D51,"|",B51,"|",C51,"|",E51,"|",ROUND(W51,2),"|",ROUND(X51,2),"|",ROUND(Y51,2),"|",ROUND(AB51,2),"|",ROUND(AC51,2),"|",ROUND(AD51,2),"|",ROUND(Z51,2),"|",ROUND(AE51,2),"|",ROUND(AA51*100,2),"%|",ROUND(AF51*100,2),"%|",ROUND(AG51*100,2),"%")</f>
        <v>Jaguar Man|3|Lancer|QQABB|5.25|11.55|4.2|3.74|1.14|2.95|30.45|16.01|48.35%|49.94%|49.14%</v>
      </c>
    </row>
    <row r="52" spans="1:34" x14ac:dyDescent="0.25">
      <c r="A52">
        <v>134</v>
      </c>
      <c r="B52">
        <v>4</v>
      </c>
      <c r="C52" t="s">
        <v>91</v>
      </c>
      <c r="D52" t="s">
        <v>107</v>
      </c>
      <c r="E52" t="s">
        <v>36</v>
      </c>
      <c r="F52" s="3">
        <v>2</v>
      </c>
      <c r="G52" s="3">
        <v>2</v>
      </c>
      <c r="H52" s="4">
        <v>1</v>
      </c>
      <c r="I52" s="4">
        <v>2</v>
      </c>
      <c r="J52" s="2">
        <v>2</v>
      </c>
      <c r="K52" s="2">
        <v>6</v>
      </c>
      <c r="L52" s="6">
        <v>1.05</v>
      </c>
      <c r="M52" s="5">
        <v>12</v>
      </c>
      <c r="N52" s="3">
        <v>0</v>
      </c>
      <c r="O52" s="4">
        <v>0</v>
      </c>
      <c r="P52" s="2">
        <f>12+30*3/5</f>
        <v>30</v>
      </c>
      <c r="Q52" s="6">
        <v>0</v>
      </c>
      <c r="R52" s="5">
        <v>0</v>
      </c>
      <c r="S52" s="6">
        <v>0</v>
      </c>
      <c r="T52" s="5">
        <v>0</v>
      </c>
      <c r="U52">
        <f>VLOOKUP(C52,classOrder,2,FALSE)</f>
        <v>4</v>
      </c>
      <c r="V52" s="7">
        <f>F52+H52+J52</f>
        <v>5</v>
      </c>
      <c r="W52" s="12">
        <f>L52*(firstCardNpBonus+VLOOKUP($W$1, cardNpValue, 2, FALSE)*(1+(N52/100))*(1+(Q52/100)))*G52</f>
        <v>5.25</v>
      </c>
      <c r="X52" s="13">
        <f>L52*(firstCardNpBonus+VLOOKUP($X$1, cardNpValue, 2,FALSE)*(1+(O52/100))*(1+(Q52/100)))*I52</f>
        <v>11.55</v>
      </c>
      <c r="Y52" s="14">
        <f>L52*(firstCardNpBonus+VLOOKUP($Y$1, cardNpValue, 2,FALSE)*(1+(P52/100))*(1+(Q52/100)))*K52</f>
        <v>6.3000000000000007</v>
      </c>
      <c r="Z52" s="15">
        <f>F52*W52+H52*X52+J52*Y52+S52</f>
        <v>34.650000000000006</v>
      </c>
      <c r="AA52" s="8">
        <f>Z52/maxTotalNpGain</f>
        <v>0.55015656382938916</v>
      </c>
      <c r="AB52" s="12">
        <f>((M52/100)+firstCardStarBonus+VLOOKUP($AB$1, cardStarValue, 2, FALSE)*(1+(N52/100))+(R52/100))*G52</f>
        <v>3.24</v>
      </c>
      <c r="AC52" s="13">
        <f>((M52/100)+firstCardStarBonus+VLOOKUP($AC$1, cardStarValue, 2,FALSE )*(1+(O52/100))+(R52/100))*I52</f>
        <v>0.64</v>
      </c>
      <c r="AD52" s="14">
        <f>((M52/100)+firstCardStarBonus+VLOOKUP($AD$1, cardStarValue, 2, FALSE)*(1+(P52/100))+(R52/100))*K52</f>
        <v>3.09</v>
      </c>
      <c r="AE52" s="11">
        <f>AB52*F52+AC52*H52+AD52*J52+T52</f>
        <v>13.3</v>
      </c>
      <c r="AF52" s="9">
        <f>AE52/maxTotalStarGen</f>
        <v>0.41478247310151262</v>
      </c>
      <c r="AG52" s="10">
        <f>(AA52+AF52)/2</f>
        <v>0.48246951846545089</v>
      </c>
      <c r="AH52" t="str">
        <f>CONCATENATE(D52,"|",B52,"|",C52,"|",E52,"|",ROUND(W52,2),"|",ROUND(X52,2),"|",ROUND(Y52,2),"|",ROUND(AB52,2),"|",ROUND(AC52,2),"|",ROUND(AD52,2),"|",ROUND(Z52,2),"|",ROUND(AE52,2),"|",ROUND(AA52*100,2),"%|",ROUND(AF52*100,2),"%|",ROUND(AG52*100,2),"%")</f>
        <v>Kiyohime (Lancer)|4|Lancer|QQABB|5.25|11.55|6.3|3.24|0.64|3.09|34.65|13.3|55.02%|41.48%|48.25%</v>
      </c>
    </row>
    <row r="53" spans="1:34" x14ac:dyDescent="0.25">
      <c r="A53">
        <v>110</v>
      </c>
      <c r="B53">
        <v>3</v>
      </c>
      <c r="C53" t="s">
        <v>164</v>
      </c>
      <c r="D53" t="s">
        <v>177</v>
      </c>
      <c r="E53" t="s">
        <v>67</v>
      </c>
      <c r="F53" s="3">
        <v>2</v>
      </c>
      <c r="G53" s="3">
        <v>3</v>
      </c>
      <c r="H53" s="4">
        <v>2</v>
      </c>
      <c r="I53" s="4">
        <v>3</v>
      </c>
      <c r="J53" s="2">
        <v>1</v>
      </c>
      <c r="K53" s="2">
        <v>1</v>
      </c>
      <c r="L53" s="6">
        <v>0.38</v>
      </c>
      <c r="M53" s="5">
        <v>25.5</v>
      </c>
      <c r="N53" s="3">
        <f>30*3*0.8/5</f>
        <v>14.4</v>
      </c>
      <c r="O53" s="4">
        <f>30*3*0.8/5</f>
        <v>14.4</v>
      </c>
      <c r="P53" s="2">
        <f>30*3*0.8/5</f>
        <v>14.4</v>
      </c>
      <c r="Q53" s="6">
        <f>20*3/5</f>
        <v>12</v>
      </c>
      <c r="R53" s="5">
        <f>10+40*3/5</f>
        <v>34</v>
      </c>
      <c r="S53" s="6">
        <v>0</v>
      </c>
      <c r="T53" s="5">
        <v>0</v>
      </c>
      <c r="U53">
        <f>VLOOKUP(C53,classOrder,2,FALSE)</f>
        <v>7</v>
      </c>
      <c r="V53" s="7">
        <f>F53+H53+J53</f>
        <v>5</v>
      </c>
      <c r="W53" s="12">
        <f>L53*(firstCardNpBonus+VLOOKUP($W$1, cardNpValue, 2, FALSE)*(1+(N53/100))*(1+(Q53/100)))*G53</f>
        <v>3.3309888000000001</v>
      </c>
      <c r="X53" s="13">
        <f>L53*(firstCardNpBonus+VLOOKUP($X$1, cardNpValue, 2,FALSE)*(1+(O53/100))*(1+(Q53/100)))*I53</f>
        <v>7.7129664000000009</v>
      </c>
      <c r="Y53" s="14">
        <f>L53*(firstCardNpBonus+VLOOKUP($Y$1, cardNpValue, 2,FALSE)*(1+(P53/100))*(1+(Q53/100)))*K53</f>
        <v>0.38</v>
      </c>
      <c r="Z53" s="15">
        <f>F53*W53+H53*X53+J53*Y53+S53</f>
        <v>22.467910400000001</v>
      </c>
      <c r="AA53" s="8">
        <f>Z53/maxTotalNpGain</f>
        <v>0.35673501824215281</v>
      </c>
      <c r="AB53" s="12">
        <f>((M53/100)+firstCardStarBonus+VLOOKUP($AB$1, cardStarValue, 2, FALSE)*(1+(N53/100))+(R53/100))*G53</f>
        <v>6.8466000000000014</v>
      </c>
      <c r="AC53" s="13">
        <f>((M53/100)+firstCardStarBonus+VLOOKUP($AC$1, cardStarValue, 2,FALSE )*(1+(O53/100))+(R53/100))*I53</f>
        <v>2.3850000000000002</v>
      </c>
      <c r="AD53" s="14">
        <f>((M53/100)+firstCardStarBonus+VLOOKUP($AD$1, cardStarValue, 2, FALSE)*(1+(P53/100))+(R53/100))*K53</f>
        <v>0.96660000000000013</v>
      </c>
      <c r="AE53" s="11">
        <f>AB53*F53+AC53*H53+AD53*J53+T53</f>
        <v>19.429800000000004</v>
      </c>
      <c r="AF53" s="9">
        <f>AE53/maxTotalStarGen</f>
        <v>0.60595041322314069</v>
      </c>
      <c r="AG53" s="10">
        <f>(AA53+AF53)/2</f>
        <v>0.48134271573264675</v>
      </c>
      <c r="AH53" t="str">
        <f>CONCATENATE(D53,"|",B53,"|",C53,"|",E53,"|",ROUND(W53,2),"|",ROUND(X53,2),"|",ROUND(Y53,2),"|",ROUND(AB53,2),"|",ROUND(AC53,2),"|",ROUND(AD53,2),"|",ROUND(Z53,2),"|",ROUND(AE53,2),"|",ROUND(AA53*100,2),"%|",ROUND(AF53*100,2),"%|",ROUND(AG53*100,2),"%")</f>
        <v>Hundred-Faced Hassan|3|Assassin|QQAAB|3.33|7.71|0.38|6.85|2.39|0.97|22.47|19.43|35.67%|60.6%|48.13%</v>
      </c>
    </row>
    <row r="54" spans="1:34" x14ac:dyDescent="0.25">
      <c r="A54">
        <v>93</v>
      </c>
      <c r="B54">
        <v>5</v>
      </c>
      <c r="C54" t="s">
        <v>209</v>
      </c>
      <c r="D54" t="s">
        <v>211</v>
      </c>
      <c r="E54" t="s">
        <v>6</v>
      </c>
      <c r="F54" s="3">
        <v>1</v>
      </c>
      <c r="G54" s="3">
        <v>3</v>
      </c>
      <c r="H54" s="4">
        <v>2</v>
      </c>
      <c r="I54" s="4">
        <v>2</v>
      </c>
      <c r="J54" s="2">
        <v>2</v>
      </c>
      <c r="K54" s="2">
        <v>1</v>
      </c>
      <c r="L54" s="6">
        <v>0.86</v>
      </c>
      <c r="M54" s="5">
        <v>10</v>
      </c>
      <c r="N54" s="3">
        <v>0</v>
      </c>
      <c r="O54" s="4">
        <v>0</v>
      </c>
      <c r="P54" s="2">
        <v>0</v>
      </c>
      <c r="Q54" s="6">
        <v>0</v>
      </c>
      <c r="R54" s="5">
        <v>0</v>
      </c>
      <c r="S54" s="6">
        <f>20*5/10</f>
        <v>10</v>
      </c>
      <c r="T54" s="5">
        <f>9*3/6</f>
        <v>4.5</v>
      </c>
      <c r="U54">
        <f>VLOOKUP(C54,classOrder,2,FALSE)</f>
        <v>9</v>
      </c>
      <c r="V54" s="7">
        <f>F54+H54+J54</f>
        <v>5</v>
      </c>
      <c r="W54" s="12">
        <f>L54*(firstCardNpBonus+VLOOKUP($W$1, cardNpValue, 2, FALSE)*(1+(N54/100))*(1+(Q54/100)))*G54</f>
        <v>6.4499999999999993</v>
      </c>
      <c r="X54" s="13">
        <f>L54*(firstCardNpBonus+VLOOKUP($X$1, cardNpValue, 2,FALSE)*(1+(O54/100))*(1+(Q54/100)))*I54</f>
        <v>9.4599999999999991</v>
      </c>
      <c r="Y54" s="14">
        <f>L54*(firstCardNpBonus+VLOOKUP($Y$1, cardNpValue, 2,FALSE)*(1+(P54/100))*(1+(Q54/100)))*K54</f>
        <v>0.86</v>
      </c>
      <c r="Z54" s="15">
        <f>F54*W54+H54*X54+J54*Y54+S54</f>
        <v>37.089999999999996</v>
      </c>
      <c r="AA54" s="8">
        <f>Z54/maxTotalNpGain</f>
        <v>0.58889774754493618</v>
      </c>
      <c r="AB54" s="12">
        <f>((M54/100)+firstCardStarBonus+VLOOKUP($AB$1, cardStarValue, 2, FALSE)*(1+(N54/100))+(R54/100))*G54</f>
        <v>4.8000000000000007</v>
      </c>
      <c r="AC54" s="13">
        <f>((M54/100)+firstCardStarBonus+VLOOKUP($AC$1, cardStarValue, 2,FALSE )*(1+(O54/100))+(R54/100))*I54</f>
        <v>0.60000000000000009</v>
      </c>
      <c r="AD54" s="14">
        <f>((M54/100)+firstCardStarBonus+VLOOKUP($AD$1, cardStarValue, 2, FALSE)*(1+(P54/100))+(R54/100))*K54</f>
        <v>0.45000000000000007</v>
      </c>
      <c r="AE54" s="11">
        <f>AB54*F54+AC54*H54+AD54*J54+T54</f>
        <v>11.400000000000002</v>
      </c>
      <c r="AF54" s="9">
        <f>AE54/maxTotalStarGen</f>
        <v>0.35552783408701083</v>
      </c>
      <c r="AG54" s="10">
        <f>(AA54+AF54)/2</f>
        <v>0.4722127908159735</v>
      </c>
      <c r="AH54" t="str">
        <f>CONCATENATE(D54,"|",B54,"|",C54,"|",E54,"|",ROUND(W54,2),"|",ROUND(X54,2),"|",ROUND(Y54,2),"|",ROUND(AB54,2),"|",ROUND(AC54,2),"|",ROUND(AD54,2),"|",ROUND(Z54,2),"|",ROUND(AE54,2),"|",ROUND(AA54*100,2),"%|",ROUND(AF54*100,2),"%|",ROUND(AG54*100,2),"%")</f>
        <v>Amakusa Shirou|5|Ruler|QAABB|6.45|9.46|0.86|4.8|0.6|0.45|37.09|11.4|58.89%|35.55%|47.22%</v>
      </c>
    </row>
    <row r="55" spans="1:34" x14ac:dyDescent="0.25">
      <c r="A55">
        <v>132</v>
      </c>
      <c r="B55">
        <v>4</v>
      </c>
      <c r="C55" t="s">
        <v>114</v>
      </c>
      <c r="D55" t="s">
        <v>131</v>
      </c>
      <c r="E55" t="s">
        <v>67</v>
      </c>
      <c r="F55" s="3">
        <v>2</v>
      </c>
      <c r="G55" s="3">
        <v>3</v>
      </c>
      <c r="H55" s="4">
        <v>2</v>
      </c>
      <c r="I55" s="4">
        <v>2</v>
      </c>
      <c r="J55" s="2">
        <v>1</v>
      </c>
      <c r="K55" s="2">
        <v>1</v>
      </c>
      <c r="L55" s="6">
        <v>0.71</v>
      </c>
      <c r="M55" s="5">
        <v>9.1999999999999993</v>
      </c>
      <c r="N55" s="3">
        <v>5</v>
      </c>
      <c r="O55" s="4">
        <f>30*3/5</f>
        <v>18</v>
      </c>
      <c r="P55" s="2">
        <v>0</v>
      </c>
      <c r="Q55" s="6">
        <v>0</v>
      </c>
      <c r="R55" s="5">
        <f>5+50/7</f>
        <v>12.142857142857142</v>
      </c>
      <c r="S55" s="6">
        <f>30/7</f>
        <v>4.2857142857142856</v>
      </c>
      <c r="T55" s="5">
        <v>0</v>
      </c>
      <c r="U55">
        <f>VLOOKUP(C55,classOrder,2,FALSE)</f>
        <v>5</v>
      </c>
      <c r="V55" s="7">
        <f>F55+H55+J55</f>
        <v>5</v>
      </c>
      <c r="W55" s="12">
        <f>L55*(firstCardNpBonus+VLOOKUP($W$1, cardNpValue, 2, FALSE)*(1+(N55/100))*(1+(Q55/100)))*G55</f>
        <v>5.48475</v>
      </c>
      <c r="X55" s="13">
        <f>L55*(firstCardNpBonus+VLOOKUP($X$1, cardNpValue, 2,FALSE)*(1+(O55/100))*(1+(Q55/100)))*I55</f>
        <v>8.9601999999999986</v>
      </c>
      <c r="Y55" s="14">
        <f>L55*(firstCardNpBonus+VLOOKUP($Y$1, cardNpValue, 2,FALSE)*(1+(P55/100))*(1+(Q55/100)))*K55</f>
        <v>0.71</v>
      </c>
      <c r="Z55" s="15">
        <f>F55*W55+H55*X55+J55*Y55+S55</f>
        <v>33.885614285714283</v>
      </c>
      <c r="AA55" s="8">
        <f>Z55/maxTotalNpGain</f>
        <v>0.53802000342501088</v>
      </c>
      <c r="AB55" s="12">
        <f>((M55/100)+firstCardStarBonus+VLOOKUP($AB$1, cardStarValue, 2, FALSE)*(1+(N55/100))+(R55/100))*G55</f>
        <v>5.3352857142857149</v>
      </c>
      <c r="AC55" s="13">
        <f>((M55/100)+firstCardStarBonus+VLOOKUP($AC$1, cardStarValue, 2,FALSE )*(1+(O55/100))+(R55/100))*I55</f>
        <v>0.82685714285714296</v>
      </c>
      <c r="AD55" s="14">
        <f>((M55/100)+firstCardStarBonus+VLOOKUP($AD$1, cardStarValue, 2, FALSE)*(1+(P55/100))+(R55/100))*K55</f>
        <v>0.5634285714285715</v>
      </c>
      <c r="AE55" s="11">
        <f>AB55*F55+AC55*H55+AD55*J55+T55</f>
        <v>12.887714285714287</v>
      </c>
      <c r="AF55" s="9">
        <f>AE55/maxTotalStarGen</f>
        <v>0.40192466195896731</v>
      </c>
      <c r="AG55" s="10">
        <f>(AA55+AF55)/2</f>
        <v>0.46997233269198913</v>
      </c>
      <c r="AH55" t="str">
        <f>CONCATENATE(D55,"|",B55,"|",C55,"|",E55,"|",ROUND(W55,2),"|",ROUND(X55,2),"|",ROUND(Y55,2),"|",ROUND(AB55,2),"|",ROUND(AC55,2),"|",ROUND(AD55,2),"|",ROUND(Z55,2),"|",ROUND(AE55,2),"|",ROUND(AA55*100,2),"%|",ROUND(AF55*100,2),"%|",ROUND(AG55*100,2),"%")</f>
        <v>Mordred (Rider)|4|Rider|QQAAB|5.48|8.96|0.71|5.34|0.83|0.56|33.89|12.89|53.8%|40.19%|47%</v>
      </c>
    </row>
    <row r="56" spans="1:34" x14ac:dyDescent="0.25">
      <c r="A56">
        <v>130</v>
      </c>
      <c r="B56">
        <v>4</v>
      </c>
      <c r="C56" t="s">
        <v>133</v>
      </c>
      <c r="D56" t="s">
        <v>155</v>
      </c>
      <c r="E56" t="s">
        <v>64</v>
      </c>
      <c r="F56" s="3">
        <v>1</v>
      </c>
      <c r="G56" s="3">
        <v>3</v>
      </c>
      <c r="H56" s="4">
        <v>3</v>
      </c>
      <c r="I56" s="4">
        <v>5</v>
      </c>
      <c r="J56" s="2">
        <v>1</v>
      </c>
      <c r="K56" s="2">
        <v>1</v>
      </c>
      <c r="L56" s="6">
        <v>0.32</v>
      </c>
      <c r="M56" s="5">
        <v>10.9</v>
      </c>
      <c r="N56" s="3">
        <v>0</v>
      </c>
      <c r="O56" s="4">
        <v>10</v>
      </c>
      <c r="P56" s="2">
        <v>0</v>
      </c>
      <c r="Q56" s="6">
        <v>0</v>
      </c>
      <c r="R56" s="5">
        <v>0</v>
      </c>
      <c r="S56" s="6">
        <v>0</v>
      </c>
      <c r="T56" s="5">
        <f>10*3/7</f>
        <v>4.2857142857142856</v>
      </c>
      <c r="U56">
        <f>VLOOKUP(C56,classOrder,2,FALSE)</f>
        <v>6</v>
      </c>
      <c r="V56" s="7">
        <f>F56+H56+J56</f>
        <v>5</v>
      </c>
      <c r="W56" s="12">
        <f>L56*(firstCardNpBonus+VLOOKUP($W$1, cardNpValue, 2, FALSE)*(1+(N56/100))*(1+(Q56/100)))*G56</f>
        <v>2.4000000000000004</v>
      </c>
      <c r="X56" s="13">
        <f>L56*(firstCardNpBonus+VLOOKUP($X$1, cardNpValue, 2,FALSE)*(1+(O56/100))*(1+(Q56/100)))*I56</f>
        <v>9.5200000000000014</v>
      </c>
      <c r="Y56" s="14">
        <f>L56*(firstCardNpBonus+VLOOKUP($Y$1, cardNpValue, 2,FALSE)*(1+(P56/100))*(1+(Q56/100)))*K56</f>
        <v>0.32</v>
      </c>
      <c r="Z56" s="15">
        <f>F56*W56+H56*X56+J56*Y56+S56</f>
        <v>31.28</v>
      </c>
      <c r="AA56" s="8">
        <f>Z56/maxTotalNpGain</f>
        <v>0.49664927320586699</v>
      </c>
      <c r="AB56" s="12">
        <f>((M56/100)+firstCardStarBonus+VLOOKUP($AB$1, cardStarValue, 2, FALSE)*(1+(N56/100))+(R56/100))*G56</f>
        <v>4.827</v>
      </c>
      <c r="AC56" s="13">
        <f>((M56/100)+firstCardStarBonus+VLOOKUP($AC$1, cardStarValue, 2,FALSE )*(1+(O56/100))+(R56/100))*I56</f>
        <v>1.5449999999999999</v>
      </c>
      <c r="AD56" s="14">
        <f>((M56/100)+firstCardStarBonus+VLOOKUP($AD$1, cardStarValue, 2, FALSE)*(1+(P56/100))+(R56/100))*K56</f>
        <v>0.45899999999999996</v>
      </c>
      <c r="AE56" s="11">
        <f>AB56*F56+AC56*H56+AD56*J56+T56</f>
        <v>14.206714285714284</v>
      </c>
      <c r="AF56" s="9">
        <f>AE56/maxTotalStarGen</f>
        <v>0.44305985609587667</v>
      </c>
      <c r="AG56" s="10">
        <f>(AA56+AF56)/2</f>
        <v>0.46985456465087183</v>
      </c>
      <c r="AH56" t="str">
        <f>CONCATENATE(D56,"|",B56,"|",C56,"|",E56,"|",ROUND(W56,2),"|",ROUND(X56,2),"|",ROUND(Y56,2),"|",ROUND(AB56,2),"|",ROUND(AC56,2),"|",ROUND(AD56,2),"|",ROUND(Z56,2),"|",ROUND(AE56,2),"|",ROUND(AA56*100,2),"%|",ROUND(AF56*100,2),"%|",ROUND(AG56*100,2),"%")</f>
        <v>Marie Antoinette (Caster)|4|Caster|QAAAB|2.4|9.52|0.32|4.83|1.55|0.46|31.28|14.21|49.66%|44.31%|46.99%</v>
      </c>
    </row>
    <row r="57" spans="1:34" x14ac:dyDescent="0.25">
      <c r="A57">
        <v>85</v>
      </c>
      <c r="B57">
        <v>5</v>
      </c>
      <c r="C57" t="s">
        <v>91</v>
      </c>
      <c r="D57" t="s">
        <v>101</v>
      </c>
      <c r="E57" t="s">
        <v>36</v>
      </c>
      <c r="F57" s="3">
        <v>2</v>
      </c>
      <c r="G57" s="3">
        <v>3</v>
      </c>
      <c r="H57" s="4">
        <v>1</v>
      </c>
      <c r="I57" s="4">
        <v>3</v>
      </c>
      <c r="J57" s="2">
        <v>2</v>
      </c>
      <c r="K57" s="2">
        <v>1</v>
      </c>
      <c r="L57" s="6">
        <v>0.72</v>
      </c>
      <c r="M57" s="5">
        <v>12.2</v>
      </c>
      <c r="N57" s="3">
        <v>10</v>
      </c>
      <c r="O57" s="4">
        <v>0</v>
      </c>
      <c r="P57" s="2">
        <f>30/5</f>
        <v>6</v>
      </c>
      <c r="Q57" s="6">
        <v>0</v>
      </c>
      <c r="R57" s="5">
        <f>50*3/6</f>
        <v>25</v>
      </c>
      <c r="S57" s="6">
        <f>25/6</f>
        <v>4.166666666666667</v>
      </c>
      <c r="T57" s="5">
        <v>0</v>
      </c>
      <c r="U57">
        <f>VLOOKUP(C57,classOrder,2,FALSE)</f>
        <v>4</v>
      </c>
      <c r="V57" s="7">
        <f>F57+H57+J57</f>
        <v>5</v>
      </c>
      <c r="W57" s="12">
        <f>L57*(firstCardNpBonus+VLOOKUP($W$1, cardNpValue, 2, FALSE)*(1+(N57/100))*(1+(Q57/100)))*G57</f>
        <v>5.7240000000000002</v>
      </c>
      <c r="X57" s="13">
        <f>L57*(firstCardNpBonus+VLOOKUP($X$1, cardNpValue, 2,FALSE)*(1+(O57/100))*(1+(Q57/100)))*I57</f>
        <v>11.879999999999999</v>
      </c>
      <c r="Y57" s="14">
        <f>L57*(firstCardNpBonus+VLOOKUP($Y$1, cardNpValue, 2,FALSE)*(1+(P57/100))*(1+(Q57/100)))*K57</f>
        <v>0.72</v>
      </c>
      <c r="Z57" s="15">
        <f>F57*W57+H57*X57+J57*Y57+S57</f>
        <v>28.934666666666669</v>
      </c>
      <c r="AA57" s="8">
        <f>Z57/maxTotalNpGain</f>
        <v>0.45941116273830007</v>
      </c>
      <c r="AB57" s="12">
        <f>((M57/100)+firstCardStarBonus+VLOOKUP($AB$1, cardStarValue, 2, FALSE)*(1+(N57/100))+(R57/100))*G57</f>
        <v>6.0060000000000002</v>
      </c>
      <c r="AC57" s="13">
        <f>((M57/100)+firstCardStarBonus+VLOOKUP($AC$1, cardStarValue, 2,FALSE )*(1+(O57/100))+(R57/100))*I57</f>
        <v>1.7160000000000002</v>
      </c>
      <c r="AD57" s="14">
        <f>((M57/100)+firstCardStarBonus+VLOOKUP($AD$1, cardStarValue, 2, FALSE)*(1+(P57/100))+(R57/100))*K57</f>
        <v>0.73099999999999998</v>
      </c>
      <c r="AE57" s="11">
        <f>AB57*F57+AC57*H57+AD57*J57+T57</f>
        <v>15.190000000000001</v>
      </c>
      <c r="AF57" s="9">
        <f>AE57/maxTotalStarGen</f>
        <v>0.47372524559488544</v>
      </c>
      <c r="AG57" s="10">
        <f>(AA57+AF57)/2</f>
        <v>0.46656820416659273</v>
      </c>
      <c r="AH57" t="str">
        <f>CONCATENATE(D57,"|",B57,"|",C57,"|",E57,"|",ROUND(W57,2),"|",ROUND(X57,2),"|",ROUND(Y57,2),"|",ROUND(AB57,2),"|",ROUND(AC57,2),"|",ROUND(AD57,2),"|",ROUND(Z57,2),"|",ROUND(AE57,2),"|",ROUND(AA57*100,2),"%|",ROUND(AF57*100,2),"%|",ROUND(AG57*100,2),"%")</f>
        <v>Karna|5|Lancer|QQABB|5.72|11.88|0.72|6.01|1.72|0.73|28.93|15.19|45.94%|47.37%|46.66%</v>
      </c>
    </row>
    <row r="58" spans="1:34" x14ac:dyDescent="0.25">
      <c r="A58">
        <v>84</v>
      </c>
      <c r="B58">
        <v>5</v>
      </c>
      <c r="C58" t="s">
        <v>63</v>
      </c>
      <c r="D58" t="s">
        <v>75</v>
      </c>
      <c r="E58" t="s">
        <v>64</v>
      </c>
      <c r="F58" s="3">
        <v>1</v>
      </c>
      <c r="G58" s="3">
        <v>2</v>
      </c>
      <c r="H58" s="4">
        <v>3</v>
      </c>
      <c r="I58" s="4">
        <v>3</v>
      </c>
      <c r="J58" s="2">
        <v>1</v>
      </c>
      <c r="K58" s="2">
        <v>3</v>
      </c>
      <c r="L58" s="6">
        <v>0.51</v>
      </c>
      <c r="M58" s="5">
        <v>8</v>
      </c>
      <c r="N58" s="3">
        <v>0</v>
      </c>
      <c r="O58" s="4">
        <v>0</v>
      </c>
      <c r="P58" s="2">
        <f>30/5</f>
        <v>6</v>
      </c>
      <c r="Q58" s="6">
        <v>0</v>
      </c>
      <c r="R58" s="5">
        <f>36*3/6</f>
        <v>18</v>
      </c>
      <c r="S58" s="6">
        <f>25/10</f>
        <v>2.5</v>
      </c>
      <c r="T58" s="5">
        <f>8*5/10</f>
        <v>4</v>
      </c>
      <c r="U58">
        <f>VLOOKUP(C58,classOrder,2,FALSE)</f>
        <v>3</v>
      </c>
      <c r="V58" s="7">
        <f>F58+H58+J58</f>
        <v>5</v>
      </c>
      <c r="W58" s="12">
        <f>L58*(firstCardNpBonus+VLOOKUP($W$1, cardNpValue, 2, FALSE)*(1+(N58/100))*(1+(Q58/100)))*G58</f>
        <v>2.5499999999999998</v>
      </c>
      <c r="X58" s="13">
        <f>L58*(firstCardNpBonus+VLOOKUP($X$1, cardNpValue, 2,FALSE)*(1+(O58/100))*(1+(Q58/100)))*I58</f>
        <v>8.4150000000000009</v>
      </c>
      <c r="Y58" s="14">
        <f>L58*(firstCardNpBonus+VLOOKUP($Y$1, cardNpValue, 2,FALSE)*(1+(P58/100))*(1+(Q58/100)))*K58</f>
        <v>1.53</v>
      </c>
      <c r="Z58" s="15">
        <f>F58*W58+H58*X58+J58*Y58+S58</f>
        <v>31.825000000000006</v>
      </c>
      <c r="AA58" s="8">
        <f>Z58/maxTotalNpGain</f>
        <v>0.50530252940462661</v>
      </c>
      <c r="AB58" s="12">
        <f>((M58/100)+firstCardStarBonus+VLOOKUP($AB$1, cardStarValue, 2, FALSE)*(1+(N58/100))+(R58/100))*G58</f>
        <v>3.52</v>
      </c>
      <c r="AC58" s="13">
        <f>((M58/100)+firstCardStarBonus+VLOOKUP($AC$1, cardStarValue, 2,FALSE )*(1+(O58/100))+(R58/100))*I58</f>
        <v>1.3800000000000001</v>
      </c>
      <c r="AD58" s="14">
        <f>((M58/100)+firstCardStarBonus+VLOOKUP($AD$1, cardStarValue, 2, FALSE)*(1+(P58/100))+(R58/100))*K58</f>
        <v>1.857</v>
      </c>
      <c r="AE58" s="11">
        <f>AB58*F58+AC58*H58+AD58*J58+T58</f>
        <v>13.516999999999999</v>
      </c>
      <c r="AF58" s="9">
        <f>AE58/maxTotalStarGen</f>
        <v>0.42154997661001092</v>
      </c>
      <c r="AG58" s="10">
        <f>(AA58+AF58)/2</f>
        <v>0.46342625300731877</v>
      </c>
      <c r="AH58" t="str">
        <f>CONCATENATE(D58,"|",B58,"|",C58,"|",E58,"|",ROUND(W58,2),"|",ROUND(X58,2),"|",ROUND(Y58,2),"|",ROUND(AB58,2),"|",ROUND(AC58,2),"|",ROUND(AD58,2),"|",ROUND(Z58,2),"|",ROUND(AE58,2),"|",ROUND(AA58*100,2),"%|",ROUND(AF58*100,2),"%|",ROUND(AG58*100,2),"%")</f>
        <v>Arjuna|5|Archer|QAAAB|2.55|8.42|1.53|3.52|1.38|1.86|31.83|13.52|50.53%|42.15%|46.34%</v>
      </c>
    </row>
    <row r="59" spans="1:34" x14ac:dyDescent="0.25">
      <c r="A59">
        <v>77</v>
      </c>
      <c r="B59">
        <v>5</v>
      </c>
      <c r="C59" t="s">
        <v>63</v>
      </c>
      <c r="D59" t="s">
        <v>74</v>
      </c>
      <c r="E59" t="s">
        <v>6</v>
      </c>
      <c r="F59" s="3">
        <v>1</v>
      </c>
      <c r="G59" s="3">
        <v>3</v>
      </c>
      <c r="H59" s="4">
        <v>2</v>
      </c>
      <c r="I59" s="4">
        <v>2</v>
      </c>
      <c r="J59" s="2">
        <v>2</v>
      </c>
      <c r="K59" s="2">
        <v>1</v>
      </c>
      <c r="L59" s="6">
        <v>0.87</v>
      </c>
      <c r="M59" s="5">
        <v>7.9</v>
      </c>
      <c r="N59" s="3">
        <v>0</v>
      </c>
      <c r="O59" s="4">
        <v>0</v>
      </c>
      <c r="P59" s="2">
        <v>0</v>
      </c>
      <c r="Q59" s="6">
        <f>50*3/5</f>
        <v>30</v>
      </c>
      <c r="R59" s="5">
        <v>0</v>
      </c>
      <c r="S59" s="6">
        <f>50/6</f>
        <v>8.3333333333333339</v>
      </c>
      <c r="T59" s="5">
        <f>10/6</f>
        <v>1.6666666666666667</v>
      </c>
      <c r="U59">
        <f>VLOOKUP(C59,classOrder,2,FALSE)</f>
        <v>3</v>
      </c>
      <c r="V59" s="7">
        <f>F59+H59+J59</f>
        <v>5</v>
      </c>
      <c r="W59" s="12">
        <f>L59*(firstCardNpBonus+VLOOKUP($W$1, cardNpValue, 2, FALSE)*(1+(N59/100))*(1+(Q59/100)))*G59</f>
        <v>7.6995000000000005</v>
      </c>
      <c r="X59" s="13">
        <f>L59*(firstCardNpBonus+VLOOKUP($X$1, cardNpValue, 2,FALSE)*(1+(O59/100))*(1+(Q59/100)))*I59</f>
        <v>11.919</v>
      </c>
      <c r="Y59" s="14">
        <f>L59*(firstCardNpBonus+VLOOKUP($Y$1, cardNpValue, 2,FALSE)*(1+(P59/100))*(1+(Q59/100)))*K59</f>
        <v>0.87</v>
      </c>
      <c r="Z59" s="15">
        <f>F59*W59+H59*X59+J59*Y59+S59</f>
        <v>41.610833333333339</v>
      </c>
      <c r="AA59" s="8">
        <f>Z59/maxTotalNpGain</f>
        <v>0.66067743390314793</v>
      </c>
      <c r="AB59" s="12">
        <f>((M59/100)+firstCardStarBonus+VLOOKUP($AB$1, cardStarValue, 2, FALSE)*(1+(N59/100))+(R59/100))*G59</f>
        <v>4.7370000000000001</v>
      </c>
      <c r="AC59" s="13">
        <f>((M59/100)+firstCardStarBonus+VLOOKUP($AC$1, cardStarValue, 2,FALSE )*(1+(O59/100))+(R59/100))*I59</f>
        <v>0.55800000000000005</v>
      </c>
      <c r="AD59" s="14">
        <f>((M59/100)+firstCardStarBonus+VLOOKUP($AD$1, cardStarValue, 2, FALSE)*(1+(P59/100))+(R59/100))*K59</f>
        <v>0.42900000000000005</v>
      </c>
      <c r="AE59" s="11">
        <f>AB59*F59+AC59*H59+AD59*J59+T59</f>
        <v>8.3776666666666664</v>
      </c>
      <c r="AF59" s="9">
        <f>AE59/maxTotalStarGen</f>
        <v>0.26127137585113575</v>
      </c>
      <c r="AG59" s="10">
        <f>(AA59+AF59)/2</f>
        <v>0.46097440487714181</v>
      </c>
      <c r="AH59" t="str">
        <f>CONCATENATE(D59,"|",B59,"|",C59,"|",E59,"|",ROUND(W59,2),"|",ROUND(X59,2),"|",ROUND(Y59,2),"|",ROUND(AB59,2),"|",ROUND(AC59,2),"|",ROUND(AD59,2),"|",ROUND(Z59,2),"|",ROUND(AE59,2),"|",ROUND(AA59*100,2),"%|",ROUND(AF59*100,2),"%|",ROUND(AG59*100,2),"%")</f>
        <v>Nikola Tesla|5|Archer|QAABB|7.7|11.92|0.87|4.74|0.56|0.43|41.61|8.38|66.07%|26.13%|46.1%</v>
      </c>
    </row>
    <row r="60" spans="1:34" x14ac:dyDescent="0.25">
      <c r="A60">
        <v>161</v>
      </c>
      <c r="B60">
        <v>5</v>
      </c>
      <c r="C60" t="s">
        <v>185</v>
      </c>
      <c r="D60" t="s">
        <v>207</v>
      </c>
      <c r="E60" t="s">
        <v>36</v>
      </c>
      <c r="F60" s="3">
        <v>2</v>
      </c>
      <c r="G60" s="3">
        <v>3</v>
      </c>
      <c r="H60" s="4">
        <v>1</v>
      </c>
      <c r="I60" s="4">
        <v>2</v>
      </c>
      <c r="J60" s="2">
        <v>2</v>
      </c>
      <c r="K60" s="2">
        <v>2</v>
      </c>
      <c r="L60" s="6">
        <v>1.08</v>
      </c>
      <c r="M60" s="5">
        <v>4.9000000000000004</v>
      </c>
      <c r="N60" s="3">
        <v>0</v>
      </c>
      <c r="O60" s="4">
        <v>0</v>
      </c>
      <c r="P60" s="2">
        <f>5+20*3/5</f>
        <v>17</v>
      </c>
      <c r="Q60" s="6">
        <v>0</v>
      </c>
      <c r="R60" s="5">
        <f>20*3/5</f>
        <v>12</v>
      </c>
      <c r="S60" s="6">
        <v>0</v>
      </c>
      <c r="T60" s="5">
        <v>0</v>
      </c>
      <c r="U60">
        <f>VLOOKUP(C60,classOrder,2,FALSE)</f>
        <v>8</v>
      </c>
      <c r="V60" s="7">
        <f>F60+H60+J60</f>
        <v>5</v>
      </c>
      <c r="W60" s="12">
        <f>L60*(firstCardNpBonus+VLOOKUP($W$1, cardNpValue, 2, FALSE)*(1+(N60/100))*(1+(Q60/100)))*G60</f>
        <v>8.1000000000000014</v>
      </c>
      <c r="X60" s="13">
        <f>L60*(firstCardNpBonus+VLOOKUP($X$1, cardNpValue, 2,FALSE)*(1+(O60/100))*(1+(Q60/100)))*I60</f>
        <v>11.88</v>
      </c>
      <c r="Y60" s="14">
        <f>L60*(firstCardNpBonus+VLOOKUP($Y$1, cardNpValue, 2,FALSE)*(1+(P60/100))*(1+(Q60/100)))*K60</f>
        <v>2.16</v>
      </c>
      <c r="Z60" s="15">
        <f>F60*W60+H60*X60+J60*Y60+S60</f>
        <v>32.400000000000006</v>
      </c>
      <c r="AA60" s="8">
        <f>Z60/maxTotalNpGain</f>
        <v>0.51443211163267555</v>
      </c>
      <c r="AB60" s="12">
        <f>((M60/100)+firstCardStarBonus+VLOOKUP($AB$1, cardStarValue, 2, FALSE)*(1+(N60/100))+(R60/100))*G60</f>
        <v>5.0069999999999997</v>
      </c>
      <c r="AC60" s="13">
        <f>((M60/100)+firstCardStarBonus+VLOOKUP($AC$1, cardStarValue, 2,FALSE )*(1+(O60/100))+(R60/100))*I60</f>
        <v>0.73799999999999999</v>
      </c>
      <c r="AD60" s="14">
        <f>((M60/100)+firstCardStarBonus+VLOOKUP($AD$1, cardStarValue, 2, FALSE)*(1+(P60/100))+(R60/100))*K60</f>
        <v>1.089</v>
      </c>
      <c r="AE60" s="11">
        <f>AB60*F60+AC60*H60+AD60*J60+T60</f>
        <v>12.93</v>
      </c>
      <c r="AF60" s="9">
        <f>AE60/maxTotalStarGen</f>
        <v>0.40324341181974116</v>
      </c>
      <c r="AG60" s="10">
        <f>(AA60+AF60)/2</f>
        <v>0.45883776172620838</v>
      </c>
      <c r="AH60" t="str">
        <f>CONCATENATE(D60,"|",B60,"|",C60,"|",E60,"|",ROUND(W60,2),"|",ROUND(X60,2),"|",ROUND(Y60,2),"|",ROUND(AB60,2),"|",ROUND(AC60,2),"|",ROUND(AD60,2),"|",ROUND(Z60,2),"|",ROUND(AE60,2),"|",ROUND(AA60*100,2),"%|",ROUND(AF60*100,2),"%|",ROUND(AG60*100,2),"%")</f>
        <v>Hijikata Toshizou|5|Berserker|QQABB|8.1|11.88|2.16|5.01|0.74|1.09|32.4|12.93|51.44%|40.32%|45.88%</v>
      </c>
    </row>
    <row r="61" spans="1:34" x14ac:dyDescent="0.25">
      <c r="A61">
        <v>154</v>
      </c>
      <c r="B61">
        <v>5</v>
      </c>
      <c r="C61" t="s">
        <v>164</v>
      </c>
      <c r="D61" t="s">
        <v>183</v>
      </c>
      <c r="E61" t="s">
        <v>50</v>
      </c>
      <c r="F61" s="3">
        <v>1</v>
      </c>
      <c r="G61" s="3">
        <v>5</v>
      </c>
      <c r="H61" s="4">
        <v>1</v>
      </c>
      <c r="I61" s="4">
        <v>3</v>
      </c>
      <c r="J61" s="2">
        <v>3</v>
      </c>
      <c r="K61" s="2">
        <v>1</v>
      </c>
      <c r="L61" s="6">
        <v>1</v>
      </c>
      <c r="M61" s="5">
        <v>25.5</v>
      </c>
      <c r="N61" s="3">
        <v>0</v>
      </c>
      <c r="O61" s="4">
        <v>0</v>
      </c>
      <c r="P61" s="2">
        <f>50/6</f>
        <v>8.3333333333333339</v>
      </c>
      <c r="Q61" s="6">
        <v>0</v>
      </c>
      <c r="R61" s="5">
        <v>10</v>
      </c>
      <c r="S61" s="6">
        <v>0</v>
      </c>
      <c r="T61" s="5">
        <v>0</v>
      </c>
      <c r="U61">
        <f>VLOOKUP(C61,classOrder,2,FALSE)</f>
        <v>7</v>
      </c>
      <c r="V61" s="7">
        <f>F61+H61+J61</f>
        <v>5</v>
      </c>
      <c r="W61" s="12">
        <f>L61*(firstCardNpBonus+VLOOKUP($W$1, cardNpValue, 2, FALSE)*(1+(N61/100))*(1+(Q61/100)))*G61</f>
        <v>12.5</v>
      </c>
      <c r="X61" s="13">
        <f>L61*(firstCardNpBonus+VLOOKUP($X$1, cardNpValue, 2,FALSE)*(1+(O61/100))*(1+(Q61/100)))*I61</f>
        <v>16.5</v>
      </c>
      <c r="Y61" s="14">
        <f>L61*(firstCardNpBonus+VLOOKUP($Y$1, cardNpValue, 2,FALSE)*(1+(P61/100))*(1+(Q61/100)))*K61</f>
        <v>1</v>
      </c>
      <c r="Z61" s="15">
        <f>F61*W61+H61*X61+J61*Y61+S61</f>
        <v>32</v>
      </c>
      <c r="AA61" s="8">
        <f>Z61/maxTotalNpGain</f>
        <v>0.50808109790881528</v>
      </c>
      <c r="AB61" s="12">
        <f>((M61/100)+firstCardStarBonus+VLOOKUP($AB$1, cardStarValue, 2, FALSE)*(1+(N61/100))+(R61/100))*G61</f>
        <v>9.2750000000000004</v>
      </c>
      <c r="AC61" s="13">
        <f>((M61/100)+firstCardStarBonus+VLOOKUP($AC$1, cardStarValue, 2,FALSE )*(1+(O61/100))+(R61/100))*I61</f>
        <v>1.665</v>
      </c>
      <c r="AD61" s="14">
        <f>((M61/100)+firstCardStarBonus+VLOOKUP($AD$1, cardStarValue, 2, FALSE)*(1+(P61/100))+(R61/100))*K61</f>
        <v>0.71749999999999992</v>
      </c>
      <c r="AE61" s="11">
        <f>AB61*F61+AC61*H61+AD61*J61+T61</f>
        <v>13.092500000000001</v>
      </c>
      <c r="AF61" s="9">
        <f>AE61/maxTotalStarGen</f>
        <v>0.40831124278808678</v>
      </c>
      <c r="AG61" s="10">
        <f>(AA61+AF61)/2</f>
        <v>0.45819617034845106</v>
      </c>
      <c r="AH61" t="str">
        <f>CONCATENATE(D61,"|",B61,"|",C61,"|",E61,"|",ROUND(W61,2),"|",ROUND(X61,2),"|",ROUND(Y61,2),"|",ROUND(AB61,2),"|",ROUND(AC61,2),"|",ROUND(AD61,2),"|",ROUND(Z61,2),"|",ROUND(AE61,2),"|",ROUND(AA61*100,2),"%|",ROUND(AF61*100,2),"%|",ROUND(AG61*100,2),"%")</f>
        <v>King Hassan|5|Assassin|QABBB|12.5|16.5|1|9.28|1.67|0.72|32|13.09|50.81%|40.83%|45.82%</v>
      </c>
    </row>
    <row r="62" spans="1:34" x14ac:dyDescent="0.25">
      <c r="A62">
        <v>37</v>
      </c>
      <c r="B62">
        <v>5</v>
      </c>
      <c r="C62" t="s">
        <v>133</v>
      </c>
      <c r="D62" t="s">
        <v>140</v>
      </c>
      <c r="E62" t="s">
        <v>64</v>
      </c>
      <c r="F62" s="3">
        <v>1</v>
      </c>
      <c r="G62" s="3">
        <v>2</v>
      </c>
      <c r="H62" s="4">
        <v>3</v>
      </c>
      <c r="I62" s="4">
        <v>1</v>
      </c>
      <c r="J62" s="2">
        <v>1</v>
      </c>
      <c r="K62" s="2">
        <v>1</v>
      </c>
      <c r="L62" s="6">
        <v>1.64</v>
      </c>
      <c r="M62" s="5">
        <v>10.8</v>
      </c>
      <c r="N62" s="3">
        <v>0</v>
      </c>
      <c r="O62" s="4">
        <v>10</v>
      </c>
      <c r="P62" s="2">
        <v>0</v>
      </c>
      <c r="Q62" s="6">
        <v>0</v>
      </c>
      <c r="R62" s="5">
        <v>0</v>
      </c>
      <c r="S62" s="6">
        <f>30/5+10/6+10/6</f>
        <v>9.3333333333333339</v>
      </c>
      <c r="T62" s="5">
        <v>0</v>
      </c>
      <c r="U62">
        <f>VLOOKUP(C62,classOrder,2,FALSE)</f>
        <v>6</v>
      </c>
      <c r="V62" s="7">
        <f>F62+H62+J62</f>
        <v>5</v>
      </c>
      <c r="W62" s="12">
        <f>L62*(firstCardNpBonus+VLOOKUP($W$1, cardNpValue, 2, FALSE)*(1+(N62/100))*(1+(Q62/100)))*G62</f>
        <v>8.1999999999999993</v>
      </c>
      <c r="X62" s="13">
        <f>L62*(firstCardNpBonus+VLOOKUP($X$1, cardNpValue, 2,FALSE)*(1+(O62/100))*(1+(Q62/100)))*I62</f>
        <v>9.7579999999999991</v>
      </c>
      <c r="Y62" s="14">
        <f>L62*(firstCardNpBonus+VLOOKUP($Y$1, cardNpValue, 2,FALSE)*(1+(P62/100))*(1+(Q62/100)))*K62</f>
        <v>1.64</v>
      </c>
      <c r="Z62" s="15">
        <f>F62*W62+H62*X62+J62*Y62+S62</f>
        <v>48.447333333333333</v>
      </c>
      <c r="AA62" s="8">
        <f>Z62/maxTotalNpGain</f>
        <v>0.76922419721107327</v>
      </c>
      <c r="AB62" s="12">
        <f>((M62/100)+firstCardStarBonus+VLOOKUP($AB$1, cardStarValue, 2, FALSE)*(1+(N62/100))+(R62/100))*G62</f>
        <v>3.2160000000000002</v>
      </c>
      <c r="AC62" s="13">
        <f>((M62/100)+firstCardStarBonus+VLOOKUP($AC$1, cardStarValue, 2,FALSE )*(1+(O62/100))+(R62/100))*I62</f>
        <v>0.30800000000000005</v>
      </c>
      <c r="AD62" s="14">
        <f>((M62/100)+firstCardStarBonus+VLOOKUP($AD$1, cardStarValue, 2, FALSE)*(1+(P62/100))+(R62/100))*K62</f>
        <v>0.45800000000000007</v>
      </c>
      <c r="AE62" s="11">
        <f>AB62*F62+AC62*H62+AD62*J62+T62</f>
        <v>4.5980000000000008</v>
      </c>
      <c r="AF62" s="9">
        <f>AE62/maxTotalStarGen</f>
        <v>0.14339622641509436</v>
      </c>
      <c r="AG62" s="10">
        <f>(AA62+AF62)/2</f>
        <v>0.45631021181308384</v>
      </c>
      <c r="AH62" t="str">
        <f>CONCATENATE(D62,"|",B62,"|",C62,"|",E62,"|",ROUND(W62,2),"|",ROUND(X62,2),"|",ROUND(Y62,2),"|",ROUND(AB62,2),"|",ROUND(AC62,2),"|",ROUND(AD62,2),"|",ROUND(Z62,2),"|",ROUND(AE62,2),"|",ROUND(AA62*100,2),"%|",ROUND(AF62*100,2),"%|",ROUND(AG62*100,2),"%")</f>
        <v>Zhuge Liang (Lord El-Melloi II)|5|Caster|QAAAB|8.2|9.76|1.64|3.22|0.31|0.46|48.45|4.6|76.92%|14.34%|45.63%</v>
      </c>
    </row>
    <row r="63" spans="1:34" x14ac:dyDescent="0.25">
      <c r="A63">
        <v>165</v>
      </c>
      <c r="B63">
        <v>4</v>
      </c>
      <c r="C63" t="s">
        <v>4</v>
      </c>
      <c r="D63" t="s">
        <v>61</v>
      </c>
      <c r="E63" t="s">
        <v>6</v>
      </c>
      <c r="F63" s="3">
        <v>1</v>
      </c>
      <c r="G63" s="3">
        <v>3</v>
      </c>
      <c r="H63" s="4">
        <v>2</v>
      </c>
      <c r="I63" s="4">
        <v>3</v>
      </c>
      <c r="J63" s="2">
        <v>2</v>
      </c>
      <c r="K63" s="2">
        <v>3</v>
      </c>
      <c r="L63" s="6">
        <v>0.56999999999999995</v>
      </c>
      <c r="M63" s="5">
        <v>10.199999999999999</v>
      </c>
      <c r="N63" s="3">
        <v>8</v>
      </c>
      <c r="O63" s="4">
        <v>0</v>
      </c>
      <c r="P63" s="2">
        <f>40/5</f>
        <v>8</v>
      </c>
      <c r="Q63" s="6">
        <v>0</v>
      </c>
      <c r="R63" s="5">
        <f>50/5</f>
        <v>10</v>
      </c>
      <c r="S63" s="6">
        <f>10*5/6</f>
        <v>8.3333333333333339</v>
      </c>
      <c r="T63" s="5">
        <v>0</v>
      </c>
      <c r="U63">
        <f>VLOOKUP(C63,classOrder,2,FALSE)</f>
        <v>2</v>
      </c>
      <c r="V63" s="7">
        <f>F63+H63+J63</f>
        <v>5</v>
      </c>
      <c r="W63" s="12">
        <f>L63*(firstCardNpBonus+VLOOKUP($W$1, cardNpValue, 2, FALSE)*(1+(N63/100))*(1+(Q63/100)))*G63</f>
        <v>4.4802</v>
      </c>
      <c r="X63" s="13">
        <f>L63*(firstCardNpBonus+VLOOKUP($X$1, cardNpValue, 2,FALSE)*(1+(O63/100))*(1+(Q63/100)))*I63</f>
        <v>9.4049999999999994</v>
      </c>
      <c r="Y63" s="14">
        <f>L63*(firstCardNpBonus+VLOOKUP($Y$1, cardNpValue, 2,FALSE)*(1+(P63/100))*(1+(Q63/100)))*K63</f>
        <v>1.71</v>
      </c>
      <c r="Z63" s="15">
        <f>F63*W63+H63*X63+J63*Y63+S63</f>
        <v>35.043533333333336</v>
      </c>
      <c r="AA63" s="8">
        <f>Z63/maxTotalNpGain</f>
        <v>0.55640490283138022</v>
      </c>
      <c r="AB63" s="12">
        <f>((M63/100)+firstCardStarBonus+VLOOKUP($AB$1, cardStarValue, 2, FALSE)*(1+(N63/100))+(R63/100))*G63</f>
        <v>5.418000000000001</v>
      </c>
      <c r="AC63" s="13">
        <f>((M63/100)+firstCardStarBonus+VLOOKUP($AC$1, cardStarValue, 2,FALSE )*(1+(O63/100))+(R63/100))*I63</f>
        <v>1.206</v>
      </c>
      <c r="AD63" s="14">
        <f>((M63/100)+firstCardStarBonus+VLOOKUP($AD$1, cardStarValue, 2, FALSE)*(1+(P63/100))+(R63/100))*K63</f>
        <v>1.6919999999999997</v>
      </c>
      <c r="AE63" s="11">
        <f>AB63*F63+AC63*H63+AD63*J63+T63</f>
        <v>11.214</v>
      </c>
      <c r="AF63" s="9">
        <f>AE63/maxTotalStarGen</f>
        <v>0.34972711679401219</v>
      </c>
      <c r="AG63" s="10">
        <f>(AA63+AF63)/2</f>
        <v>0.45306600981269618</v>
      </c>
      <c r="AH63" t="str">
        <f>CONCATENATE(D63,"|",B63,"|",C63,"|",E63,"|",ROUND(W63,2),"|",ROUND(X63,2),"|",ROUND(Y63,2),"|",ROUND(AB63,2),"|",ROUND(AC63,2),"|",ROUND(AD63,2),"|",ROUND(Z63,2),"|",ROUND(AE63,2),"|",ROUND(AA63*100,2),"%|",ROUND(AF63*100,2),"%|",ROUND(AG63*100,2),"%")</f>
        <v>Suzuka Gozen|4|Saber|QAABB|4.48|9.41|1.71|5.42|1.21|1.69|35.04|11.21|55.64%|34.97%|45.31%</v>
      </c>
    </row>
    <row r="64" spans="1:34" x14ac:dyDescent="0.25">
      <c r="A64">
        <v>62</v>
      </c>
      <c r="B64">
        <v>5</v>
      </c>
      <c r="C64" t="s">
        <v>133</v>
      </c>
      <c r="D64" t="s">
        <v>143</v>
      </c>
      <c r="E64" t="s">
        <v>64</v>
      </c>
      <c r="F64" s="3">
        <v>1</v>
      </c>
      <c r="G64" s="3">
        <v>3</v>
      </c>
      <c r="H64" s="4">
        <v>3</v>
      </c>
      <c r="I64" s="4">
        <v>5</v>
      </c>
      <c r="J64" s="2">
        <v>1</v>
      </c>
      <c r="K64" s="2">
        <v>1</v>
      </c>
      <c r="L64" s="6">
        <v>0.32</v>
      </c>
      <c r="M64" s="5">
        <v>11</v>
      </c>
      <c r="N64" s="3">
        <v>0</v>
      </c>
      <c r="O64" s="4">
        <f>6+50*3/5</f>
        <v>36</v>
      </c>
      <c r="P64" s="2">
        <v>0</v>
      </c>
      <c r="Q64" s="6">
        <v>0</v>
      </c>
      <c r="R64" s="5">
        <v>0</v>
      </c>
      <c r="S64" s="6">
        <v>0</v>
      </c>
      <c r="T64" s="5">
        <v>0</v>
      </c>
      <c r="U64">
        <f>VLOOKUP(C64,classOrder,2,FALSE)</f>
        <v>6</v>
      </c>
      <c r="V64" s="7">
        <f>F64+H64+J64</f>
        <v>5</v>
      </c>
      <c r="W64" s="12">
        <f>L64*(firstCardNpBonus+VLOOKUP($W$1, cardNpValue, 2, FALSE)*(1+(N64/100))*(1+(Q64/100)))*G64</f>
        <v>2.4000000000000004</v>
      </c>
      <c r="X64" s="13">
        <f>L64*(firstCardNpBonus+VLOOKUP($X$1, cardNpValue, 2,FALSE)*(1+(O64/100))*(1+(Q64/100)))*I64</f>
        <v>11.391999999999999</v>
      </c>
      <c r="Y64" s="14">
        <f>L64*(firstCardNpBonus+VLOOKUP($Y$1, cardNpValue, 2,FALSE)*(1+(P64/100))*(1+(Q64/100)))*K64</f>
        <v>0.32</v>
      </c>
      <c r="Z64" s="15">
        <f>F64*W64+H64*X64+J64*Y64+S64</f>
        <v>36.896000000000001</v>
      </c>
      <c r="AA64" s="8">
        <f>Z64/maxTotalNpGain</f>
        <v>0.58581750588886405</v>
      </c>
      <c r="AB64" s="12">
        <f>((M64/100)+firstCardStarBonus+VLOOKUP($AB$1, cardStarValue, 2, FALSE)*(1+(N64/100))+(R64/100))*G64</f>
        <v>4.83</v>
      </c>
      <c r="AC64" s="13">
        <f>((M64/100)+firstCardStarBonus+VLOOKUP($AC$1, cardStarValue, 2,FALSE )*(1+(O64/100))+(R64/100))*I64</f>
        <v>1.55</v>
      </c>
      <c r="AD64" s="14">
        <f>((M64/100)+firstCardStarBonus+VLOOKUP($AD$1, cardStarValue, 2, FALSE)*(1+(P64/100))+(R64/100))*K64</f>
        <v>0.45999999999999996</v>
      </c>
      <c r="AE64" s="11">
        <f>AB64*F64+AC64*H64+AD64*J64+T64</f>
        <v>9.9400000000000013</v>
      </c>
      <c r="AF64" s="9">
        <f>AE64/maxTotalStarGen</f>
        <v>0.3099953220021831</v>
      </c>
      <c r="AG64" s="10">
        <f>(AA64+AF64)/2</f>
        <v>0.44790641394552355</v>
      </c>
      <c r="AH64" t="str">
        <f>CONCATENATE(D64,"|",B64,"|",C64,"|",E64,"|",ROUND(W64,2),"|",ROUND(X64,2),"|",ROUND(Y64,2),"|",ROUND(AB64,2),"|",ROUND(AC64,2),"|",ROUND(AD64,2),"|",ROUND(Z64,2),"|",ROUND(AE64,2),"|",ROUND(AA64*100,2),"%|",ROUND(AF64*100,2),"%|",ROUND(AG64*100,2),"%")</f>
        <v>Tamamo no Mae|5|Caster|QAAAB|2.4|11.39|0.32|4.83|1.55|0.46|36.9|9.94|58.58%|31%|44.79%</v>
      </c>
    </row>
    <row r="65" spans="1:34" x14ac:dyDescent="0.25">
      <c r="A65">
        <v>158</v>
      </c>
      <c r="B65">
        <v>4</v>
      </c>
      <c r="C65" t="s">
        <v>213</v>
      </c>
      <c r="D65" t="s">
        <v>218</v>
      </c>
      <c r="E65" t="s">
        <v>67</v>
      </c>
      <c r="F65" s="3">
        <v>2</v>
      </c>
      <c r="G65" s="3">
        <v>3</v>
      </c>
      <c r="H65" s="4">
        <v>2</v>
      </c>
      <c r="I65" s="4">
        <v>2</v>
      </c>
      <c r="J65" s="2">
        <v>1</v>
      </c>
      <c r="K65" s="2">
        <v>2</v>
      </c>
      <c r="L65" s="6">
        <v>0.79</v>
      </c>
      <c r="M65" s="5">
        <v>6</v>
      </c>
      <c r="N65" s="3">
        <v>0</v>
      </c>
      <c r="O65" s="4">
        <v>0</v>
      </c>
      <c r="P65" s="2">
        <v>0</v>
      </c>
      <c r="Q65" s="6">
        <v>0</v>
      </c>
      <c r="R65" s="5">
        <v>0</v>
      </c>
      <c r="S65" s="6">
        <v>3.5</v>
      </c>
      <c r="T65" s="5">
        <v>0</v>
      </c>
      <c r="U65">
        <f>VLOOKUP(C65,classOrder,2,FALSE)</f>
        <v>10</v>
      </c>
      <c r="V65" s="7">
        <f>F65+H65+J65</f>
        <v>5</v>
      </c>
      <c r="W65" s="12">
        <f>L65*(firstCardNpBonus+VLOOKUP($W$1, cardNpValue, 2, FALSE)*(1+(N65/100))*(1+(Q65/100)))*G65</f>
        <v>5.9250000000000007</v>
      </c>
      <c r="X65" s="13">
        <f>L65*(firstCardNpBonus+VLOOKUP($X$1, cardNpValue, 2,FALSE)*(1+(O65/100))*(1+(Q65/100)))*I65</f>
        <v>8.6900000000000013</v>
      </c>
      <c r="Y65" s="14">
        <f>L65*(firstCardNpBonus+VLOOKUP($Y$1, cardNpValue, 2,FALSE)*(1+(P65/100))*(1+(Q65/100)))*K65</f>
        <v>1.58</v>
      </c>
      <c r="Z65" s="15">
        <f>F65*W65+H65*X65+J65*Y65+S65</f>
        <v>34.31</v>
      </c>
      <c r="AA65" s="8">
        <f>Z65/maxTotalNpGain</f>
        <v>0.54475820216410797</v>
      </c>
      <c r="AB65" s="12">
        <f>((M65/100)+firstCardStarBonus+VLOOKUP($AB$1, cardStarValue, 2, FALSE)*(1+(N65/100))+(R65/100))*G65</f>
        <v>4.68</v>
      </c>
      <c r="AC65" s="13">
        <f>((M65/100)+firstCardStarBonus+VLOOKUP($AC$1, cardStarValue, 2,FALSE )*(1+(O65/100))+(R65/100))*I65</f>
        <v>0.52</v>
      </c>
      <c r="AD65" s="14">
        <f>((M65/100)+firstCardStarBonus+VLOOKUP($AD$1, cardStarValue, 2, FALSE)*(1+(P65/100))+(R65/100))*K65</f>
        <v>0.82000000000000006</v>
      </c>
      <c r="AE65" s="11">
        <f>AB65*F65+AC65*H65+AD65*J65+T65</f>
        <v>11.219999999999999</v>
      </c>
      <c r="AF65" s="9">
        <f>AE65/maxTotalStarGen</f>
        <v>0.34991423670668953</v>
      </c>
      <c r="AG65" s="10">
        <f>(AA65+AF65)/2</f>
        <v>0.44733621943539875</v>
      </c>
      <c r="AH65" t="str">
        <f>CONCATENATE(D65,"|",B65,"|",C65,"|",E65,"|",ROUND(W65,2),"|",ROUND(X65,2),"|",ROUND(Y65,2),"|",ROUND(AB65,2),"|",ROUND(AC65,2),"|",ROUND(AD65,2),"|",ROUND(Z65,2),"|",ROUND(AE65,2),"|",ROUND(AA65*100,2),"%|",ROUND(AF65*100,2),"%|",ROUND(AG65*100,2),"%")</f>
        <v>Hessian Lobo|4|Avenger|QQAAB|5.93|8.69|1.58|4.68|0.52|0.82|34.31|11.22|54.48%|34.99%|44.73%</v>
      </c>
    </row>
    <row r="66" spans="1:34" x14ac:dyDescent="0.25">
      <c r="A66">
        <v>74</v>
      </c>
      <c r="B66">
        <v>4</v>
      </c>
      <c r="C66" t="s">
        <v>133</v>
      </c>
      <c r="D66" t="s">
        <v>145</v>
      </c>
      <c r="E66" t="s">
        <v>64</v>
      </c>
      <c r="F66" s="3">
        <v>1</v>
      </c>
      <c r="G66" s="3">
        <v>3</v>
      </c>
      <c r="H66" s="4">
        <v>3</v>
      </c>
      <c r="I66" s="4">
        <v>3</v>
      </c>
      <c r="J66" s="2">
        <v>1</v>
      </c>
      <c r="K66" s="2">
        <v>1</v>
      </c>
      <c r="L66" s="6">
        <v>0.54</v>
      </c>
      <c r="M66" s="5">
        <v>10.8</v>
      </c>
      <c r="N66" s="3">
        <v>0</v>
      </c>
      <c r="O66" s="4">
        <v>10</v>
      </c>
      <c r="P66" s="2">
        <v>0</v>
      </c>
      <c r="Q66" s="6">
        <v>0</v>
      </c>
      <c r="R66" s="5">
        <v>0</v>
      </c>
      <c r="S66" s="6">
        <f>40/6</f>
        <v>6.666666666666667</v>
      </c>
      <c r="T66" s="5">
        <v>0</v>
      </c>
      <c r="U66">
        <f>VLOOKUP(C66,classOrder,2,FALSE)</f>
        <v>6</v>
      </c>
      <c r="V66" s="7">
        <f>F66+H66+J66</f>
        <v>5</v>
      </c>
      <c r="W66" s="12">
        <f>L66*(firstCardNpBonus+VLOOKUP($W$1, cardNpValue, 2, FALSE)*(1+(N66/100))*(1+(Q66/100)))*G66</f>
        <v>4.0500000000000007</v>
      </c>
      <c r="X66" s="13">
        <f>L66*(firstCardNpBonus+VLOOKUP($X$1, cardNpValue, 2,FALSE)*(1+(O66/100))*(1+(Q66/100)))*I66</f>
        <v>9.6390000000000011</v>
      </c>
      <c r="Y66" s="14">
        <f>L66*(firstCardNpBonus+VLOOKUP($Y$1, cardNpValue, 2,FALSE)*(1+(P66/100))*(1+(Q66/100)))*K66</f>
        <v>0.54</v>
      </c>
      <c r="Z66" s="15">
        <f>F66*W66+H66*X66+J66*Y66+S66</f>
        <v>40.173666666666662</v>
      </c>
      <c r="AA66" s="8">
        <f>Z66/maxTotalNpGain</f>
        <v>0.63785877084446174</v>
      </c>
      <c r="AB66" s="12">
        <f>((M66/100)+firstCardStarBonus+VLOOKUP($AB$1, cardStarValue, 2, FALSE)*(1+(N66/100))+(R66/100))*G66</f>
        <v>4.8239999999999998</v>
      </c>
      <c r="AC66" s="13">
        <f>((M66/100)+firstCardStarBonus+VLOOKUP($AC$1, cardStarValue, 2,FALSE )*(1+(O66/100))+(R66/100))*I66</f>
        <v>0.92400000000000015</v>
      </c>
      <c r="AD66" s="14">
        <f>((M66/100)+firstCardStarBonus+VLOOKUP($AD$1, cardStarValue, 2, FALSE)*(1+(P66/100))+(R66/100))*K66</f>
        <v>0.45800000000000007</v>
      </c>
      <c r="AE66" s="11">
        <f>AB66*F66+AC66*H66+AD66*J66+T66</f>
        <v>8.0540000000000003</v>
      </c>
      <c r="AF66" s="9">
        <f>AE66/maxTotalStarGen</f>
        <v>0.25117729611726186</v>
      </c>
      <c r="AG66" s="10">
        <f>(AA66+AF66)/2</f>
        <v>0.44451803348086183</v>
      </c>
      <c r="AH66" t="str">
        <f>CONCATENATE(D66,"|",B66,"|",C66,"|",E66,"|",ROUND(W66,2),"|",ROUND(X66,2),"|",ROUND(Y66,2),"|",ROUND(AB66,2),"|",ROUND(AC66,2),"|",ROUND(AD66,2),"|",ROUND(Z66,2),"|",ROUND(AE66,2),"|",ROUND(AA66*100,2),"%|",ROUND(AF66*100,2),"%|",ROUND(AG66*100,2),"%")</f>
        <v>Nursery Rhyme|4|Caster|QAAAB|4.05|9.64|0.54|4.82|0.92|0.46|40.17|8.05|63.79%|25.12%|44.45%</v>
      </c>
    </row>
    <row r="67" spans="1:34" x14ac:dyDescent="0.25">
      <c r="A67">
        <v>1</v>
      </c>
      <c r="B67">
        <v>3</v>
      </c>
      <c r="C67" t="s">
        <v>27</v>
      </c>
      <c r="D67" t="s">
        <v>28</v>
      </c>
      <c r="E67" t="s">
        <v>6</v>
      </c>
      <c r="F67" s="3">
        <v>1</v>
      </c>
      <c r="G67" s="3">
        <v>2</v>
      </c>
      <c r="H67" s="4">
        <v>2</v>
      </c>
      <c r="I67" s="4">
        <v>2</v>
      </c>
      <c r="J67" s="2">
        <v>2</v>
      </c>
      <c r="K67" s="2">
        <v>1</v>
      </c>
      <c r="L67" s="6">
        <v>0.84</v>
      </c>
      <c r="M67" s="5">
        <v>9.9</v>
      </c>
      <c r="N67" s="3">
        <v>6</v>
      </c>
      <c r="O67" s="4">
        <v>0</v>
      </c>
      <c r="P67" s="2">
        <v>0</v>
      </c>
      <c r="Q67" s="6">
        <f>400/6</f>
        <v>66.666666666666671</v>
      </c>
      <c r="R67" s="5">
        <v>0</v>
      </c>
      <c r="S67" s="6">
        <f>20/7</f>
        <v>2.8571428571428572</v>
      </c>
      <c r="T67" s="5">
        <f>15/5</f>
        <v>3</v>
      </c>
      <c r="U67">
        <f>VLOOKUP(C67,classOrder,2,FALSE)</f>
        <v>1</v>
      </c>
      <c r="V67" s="7">
        <f>F67+H67+J67</f>
        <v>5</v>
      </c>
      <c r="W67" s="12">
        <f>L67*(firstCardNpBonus+VLOOKUP($W$1, cardNpValue, 2, FALSE)*(1+(N67/100))*(1+(Q67/100)))*G67</f>
        <v>6.1320000000000006</v>
      </c>
      <c r="X67" s="13">
        <f>L67*(firstCardNpBonus+VLOOKUP($X$1, cardNpValue, 2,FALSE)*(1+(O67/100))*(1+(Q67/100)))*I67</f>
        <v>14.28</v>
      </c>
      <c r="Y67" s="14">
        <f>L67*(firstCardNpBonus+VLOOKUP($Y$1, cardNpValue, 2,FALSE)*(1+(P67/100))*(1+(Q67/100)))*K67</f>
        <v>0.84</v>
      </c>
      <c r="Z67" s="15">
        <f>F67*W67+H67*X67+J67*Y67+S67</f>
        <v>39.229142857142854</v>
      </c>
      <c r="AA67" s="8">
        <f>Z67/maxTotalNpGain</f>
        <v>0.6228620616524656</v>
      </c>
      <c r="AB67" s="12">
        <f>((M67/100)+firstCardStarBonus+VLOOKUP($AB$1, cardStarValue, 2, FALSE)*(1+(N67/100))+(R67/100))*G67</f>
        <v>3.3540000000000001</v>
      </c>
      <c r="AC67" s="13">
        <f>((M67/100)+firstCardStarBonus+VLOOKUP($AC$1, cardStarValue, 2,FALSE )*(1+(O67/100))+(R67/100))*I67</f>
        <v>0.59800000000000009</v>
      </c>
      <c r="AD67" s="14">
        <f>((M67/100)+firstCardStarBonus+VLOOKUP($AD$1, cardStarValue, 2, FALSE)*(1+(P67/100))+(R67/100))*K67</f>
        <v>0.44900000000000007</v>
      </c>
      <c r="AE67" s="11">
        <f>AB67*F67+AC67*H67+AD67*J67+T67</f>
        <v>8.4480000000000004</v>
      </c>
      <c r="AF67" s="9">
        <f>AE67/maxTotalStarGen</f>
        <v>0.26346483704974272</v>
      </c>
      <c r="AG67" s="10">
        <f>(AA67+AF67)/2</f>
        <v>0.44316344935110419</v>
      </c>
      <c r="AH67" t="str">
        <f>CONCATENATE(D67,"|",B67,"|",C67,"|",E67,"|",ROUND(W67,2),"|",ROUND(X67,2),"|",ROUND(Y67,2),"|",ROUND(AB67,2),"|",ROUND(AC67,2),"|",ROUND(AD67,2),"|",ROUND(Z67,2),"|",ROUND(AE67,2),"|",ROUND(AA67*100,2),"%|",ROUND(AF67*100,2),"%|",ROUND(AG67*100,2),"%")</f>
        <v>Mashu Kyrielight|3|Shielder|QAABB|6.13|14.28|0.84|3.35|0.6|0.45|39.23|8.45|62.29%|26.35%|44.32%</v>
      </c>
    </row>
    <row r="68" spans="1:34" ht="14.25" customHeight="1" x14ac:dyDescent="0.25">
      <c r="A68">
        <v>144</v>
      </c>
      <c r="B68">
        <v>5</v>
      </c>
      <c r="C68" t="s">
        <v>114</v>
      </c>
      <c r="D68" t="s">
        <v>132</v>
      </c>
      <c r="E68" t="s">
        <v>6</v>
      </c>
      <c r="F68" s="3">
        <v>1</v>
      </c>
      <c r="G68" s="3">
        <v>3</v>
      </c>
      <c r="H68" s="4">
        <v>2</v>
      </c>
      <c r="I68" s="4">
        <v>2</v>
      </c>
      <c r="J68" s="2">
        <v>2</v>
      </c>
      <c r="K68" s="2">
        <v>3</v>
      </c>
      <c r="L68" s="6">
        <v>0.9</v>
      </c>
      <c r="M68" s="5">
        <v>9</v>
      </c>
      <c r="N68" s="3">
        <v>12</v>
      </c>
      <c r="O68" s="4">
        <v>0</v>
      </c>
      <c r="P68" s="2">
        <f>30*3/7</f>
        <v>12.857142857142858</v>
      </c>
      <c r="Q68" s="6">
        <v>0</v>
      </c>
      <c r="R68" s="5">
        <v>0</v>
      </c>
      <c r="S68" s="6">
        <f>30/6</f>
        <v>5</v>
      </c>
      <c r="T68" s="5">
        <v>0</v>
      </c>
      <c r="U68">
        <f>VLOOKUP(C68,classOrder,2,FALSE)</f>
        <v>5</v>
      </c>
      <c r="V68" s="7">
        <f>F68+H68+J68</f>
        <v>5</v>
      </c>
      <c r="W68" s="12">
        <f>L68*(firstCardNpBonus+VLOOKUP($W$1, cardNpValue, 2, FALSE)*(1+(N68/100))*(1+(Q68/100)))*G68</f>
        <v>7.2360000000000007</v>
      </c>
      <c r="X68" s="13">
        <f>L68*(firstCardNpBonus+VLOOKUP($X$1, cardNpValue, 2,FALSE)*(1+(O68/100))*(1+(Q68/100)))*I68</f>
        <v>9.9</v>
      </c>
      <c r="Y68" s="14">
        <f>L68*(firstCardNpBonus+VLOOKUP($Y$1, cardNpValue, 2,FALSE)*(1+(P68/100))*(1+(Q68/100)))*K68</f>
        <v>2.7</v>
      </c>
      <c r="Z68" s="15">
        <f>F68*W68+H68*X68+J68*Y68+S68</f>
        <v>37.436</v>
      </c>
      <c r="AA68" s="8">
        <f>Z68/maxTotalNpGain</f>
        <v>0.59439137441607526</v>
      </c>
      <c r="AB68" s="12">
        <f>((M68/100)+firstCardStarBonus+VLOOKUP($AB$1, cardStarValue, 2, FALSE)*(1+(N68/100))+(R68/100))*G68</f>
        <v>5.2380000000000004</v>
      </c>
      <c r="AC68" s="13">
        <f>((M68/100)+firstCardStarBonus+VLOOKUP($AC$1, cardStarValue, 2,FALSE )*(1+(O68/100))+(R68/100))*I68</f>
        <v>0.58000000000000007</v>
      </c>
      <c r="AD68" s="14">
        <f>((M68/100)+firstCardStarBonus+VLOOKUP($AD$1, cardStarValue, 2, FALSE)*(1+(P68/100))+(R68/100))*K68</f>
        <v>1.3778571428571429</v>
      </c>
      <c r="AE68" s="11">
        <f>AB68*F68+AC68*H68+AD68*J68+T68</f>
        <v>9.1537142857142868</v>
      </c>
      <c r="AF68" s="9">
        <f>AE68/maxTotalStarGen</f>
        <v>0.28547370296941488</v>
      </c>
      <c r="AG68" s="10">
        <f>(AA68+AF68)/2</f>
        <v>0.43993253869274507</v>
      </c>
      <c r="AH68" t="str">
        <f>CONCATENATE(D68,"|",B68,"|",C68,"|",E68,"|",ROUND(W68,2),"|",ROUND(X68,2),"|",ROUND(Y68,2),"|",ROUND(AB68,2),"|",ROUND(AC68,2),"|",ROUND(AD68,2),"|",ROUND(Z68,2),"|",ROUND(AE68,2),"|",ROUND(AA68*100,2),"%|",ROUND(AF68*100,2),"%|",ROUND(AG68*100,2),"%")</f>
        <v>Quetzalcoatl|5|Rider|QAABB|7.24|9.9|2.7|5.24|0.58|1.38|37.44|9.15|59.44%|28.55%|43.99%</v>
      </c>
    </row>
    <row r="69" spans="1:34" x14ac:dyDescent="0.25">
      <c r="A69">
        <v>141</v>
      </c>
      <c r="B69">
        <v>4</v>
      </c>
      <c r="C69" t="s">
        <v>91</v>
      </c>
      <c r="D69" t="s">
        <v>109</v>
      </c>
      <c r="E69" t="s">
        <v>36</v>
      </c>
      <c r="F69" s="3">
        <v>2</v>
      </c>
      <c r="G69" s="3">
        <v>3</v>
      </c>
      <c r="H69" s="4">
        <v>1</v>
      </c>
      <c r="I69" s="4">
        <v>3</v>
      </c>
      <c r="J69" s="2">
        <v>2</v>
      </c>
      <c r="K69" s="2">
        <v>1</v>
      </c>
      <c r="L69" s="6">
        <v>0.72</v>
      </c>
      <c r="M69" s="5">
        <v>12.1</v>
      </c>
      <c r="N69" s="3">
        <v>0</v>
      </c>
      <c r="O69" s="4">
        <v>0</v>
      </c>
      <c r="P69" s="2">
        <f>55/6</f>
        <v>9.1666666666666661</v>
      </c>
      <c r="Q69" s="6">
        <v>0</v>
      </c>
      <c r="R69" s="5">
        <f>30*3/5</f>
        <v>18</v>
      </c>
      <c r="S69" s="6">
        <f>20/5</f>
        <v>4</v>
      </c>
      <c r="T69" s="5">
        <v>0</v>
      </c>
      <c r="U69">
        <f>VLOOKUP(C69,classOrder,2,FALSE)</f>
        <v>4</v>
      </c>
      <c r="V69" s="7">
        <f>F69+H69+J69</f>
        <v>5</v>
      </c>
      <c r="W69" s="12">
        <f>L69*(firstCardNpBonus+VLOOKUP($W$1, cardNpValue, 2, FALSE)*(1+(N69/100))*(1+(Q69/100)))*G69</f>
        <v>5.3999999999999995</v>
      </c>
      <c r="X69" s="13">
        <f>L69*(firstCardNpBonus+VLOOKUP($X$1, cardNpValue, 2,FALSE)*(1+(O69/100))*(1+(Q69/100)))*I69</f>
        <v>11.879999999999999</v>
      </c>
      <c r="Y69" s="14">
        <f>L69*(firstCardNpBonus+VLOOKUP($Y$1, cardNpValue, 2,FALSE)*(1+(P69/100))*(1+(Q69/100)))*K69</f>
        <v>0.72</v>
      </c>
      <c r="Z69" s="15">
        <f>F69*W69+H69*X69+J69*Y69+S69</f>
        <v>28.12</v>
      </c>
      <c r="AA69" s="8">
        <f>Z69/maxTotalNpGain</f>
        <v>0.44647626478737146</v>
      </c>
      <c r="AB69" s="12">
        <f>((M69/100)+firstCardStarBonus+VLOOKUP($AB$1, cardStarValue, 2, FALSE)*(1+(N69/100))+(R69/100))*G69</f>
        <v>5.4029999999999996</v>
      </c>
      <c r="AC69" s="13">
        <f>((M69/100)+firstCardStarBonus+VLOOKUP($AC$1, cardStarValue, 2,FALSE )*(1+(O69/100))+(R69/100))*I69</f>
        <v>1.5030000000000001</v>
      </c>
      <c r="AD69" s="14">
        <f>((M69/100)+firstCardStarBonus+VLOOKUP($AD$1, cardStarValue, 2, FALSE)*(1+(P69/100))+(R69/100))*K69</f>
        <v>0.66474999999999995</v>
      </c>
      <c r="AE69" s="11">
        <f>AB69*F69+AC69*H69+AD69*J69+T69</f>
        <v>13.638499999999999</v>
      </c>
      <c r="AF69" s="9">
        <f>AE69/maxTotalStarGen</f>
        <v>0.42533915484172774</v>
      </c>
      <c r="AG69" s="10">
        <f>(AA69+AF69)/2</f>
        <v>0.43590770981454963</v>
      </c>
      <c r="AH69" t="str">
        <f>CONCATENATE(D69,"|",B69,"|",C69,"|",E69,"|",ROUND(W69,2),"|",ROUND(X69,2),"|",ROUND(Y69,2),"|",ROUND(AB69,2),"|",ROUND(AC69,2),"|",ROUND(AD69,2),"|",ROUND(Z69,2),"|",ROUND(AE69,2),"|",ROUND(AA69*100,2),"%|",ROUND(AF69*100,2),"%|",ROUND(AG69*100,2),"%")</f>
        <v>Jeanne d'Arc (Alter) (Santa Lily)|4|Lancer|QQABB|5.4|11.88|0.72|5.4|1.5|0.66|28.12|13.64|44.65%|42.53%|43.59%</v>
      </c>
    </row>
    <row r="70" spans="1:34" x14ac:dyDescent="0.25">
      <c r="A70">
        <v>136</v>
      </c>
      <c r="B70">
        <v>5</v>
      </c>
      <c r="C70" t="s">
        <v>133</v>
      </c>
      <c r="D70" t="s">
        <v>156</v>
      </c>
      <c r="E70" t="s">
        <v>64</v>
      </c>
      <c r="F70" s="3">
        <v>1</v>
      </c>
      <c r="G70" s="3">
        <v>3</v>
      </c>
      <c r="H70" s="4">
        <v>3</v>
      </c>
      <c r="I70" s="4">
        <v>5</v>
      </c>
      <c r="J70" s="2">
        <v>1</v>
      </c>
      <c r="K70" s="2">
        <v>1</v>
      </c>
      <c r="L70" s="6">
        <v>0.32</v>
      </c>
      <c r="M70" s="5">
        <v>10.7</v>
      </c>
      <c r="N70" s="3">
        <v>0</v>
      </c>
      <c r="O70" s="4">
        <v>0</v>
      </c>
      <c r="P70" s="2">
        <f>50/5</f>
        <v>10</v>
      </c>
      <c r="Q70" s="6">
        <f>28*3/6</f>
        <v>14</v>
      </c>
      <c r="R70" s="5">
        <v>0</v>
      </c>
      <c r="S70" s="6">
        <v>3</v>
      </c>
      <c r="T70" s="5">
        <v>0</v>
      </c>
      <c r="U70">
        <f>VLOOKUP(C70,classOrder,2,FALSE)</f>
        <v>6</v>
      </c>
      <c r="V70" s="7">
        <f>F70+H70+J70</f>
        <v>5</v>
      </c>
      <c r="W70" s="12">
        <f>L70*(firstCardNpBonus+VLOOKUP($W$1, cardNpValue, 2, FALSE)*(1+(N70/100))*(1+(Q70/100)))*G70</f>
        <v>2.6015999999999999</v>
      </c>
      <c r="X70" s="13">
        <f>L70*(firstCardNpBonus+VLOOKUP($X$1, cardNpValue, 2,FALSE)*(1+(O70/100))*(1+(Q70/100)))*I70</f>
        <v>9.8080000000000016</v>
      </c>
      <c r="Y70" s="14">
        <f>L70*(firstCardNpBonus+VLOOKUP($Y$1, cardNpValue, 2,FALSE)*(1+(P70/100))*(1+(Q70/100)))*K70</f>
        <v>0.32</v>
      </c>
      <c r="Z70" s="15">
        <f>F70*W70+H70*X70+J70*Y70+S70</f>
        <v>35.345600000000005</v>
      </c>
      <c r="AA70" s="8">
        <f>Z70/maxTotalNpGain</f>
        <v>0.56120097669518199</v>
      </c>
      <c r="AB70" s="12">
        <f>((M70/100)+firstCardStarBonus+VLOOKUP($AB$1, cardStarValue, 2, FALSE)*(1+(N70/100))+(R70/100))*G70</f>
        <v>4.8209999999999997</v>
      </c>
      <c r="AC70" s="13">
        <f>((M70/100)+firstCardStarBonus+VLOOKUP($AC$1, cardStarValue, 2,FALSE )*(1+(O70/100))+(R70/100))*I70</f>
        <v>1.5349999999999999</v>
      </c>
      <c r="AD70" s="14">
        <f>((M70/100)+firstCardStarBonus+VLOOKUP($AD$1, cardStarValue, 2, FALSE)*(1+(P70/100))+(R70/100))*K70</f>
        <v>0.47199999999999998</v>
      </c>
      <c r="AE70" s="11">
        <f>AB70*F70+AC70*H70+AD70*J70+T70</f>
        <v>9.8979999999999979</v>
      </c>
      <c r="AF70" s="9">
        <f>AE70/maxTotalStarGen</f>
        <v>0.30868548261344142</v>
      </c>
      <c r="AG70" s="10">
        <f>(AA70+AF70)/2</f>
        <v>0.4349432296543117</v>
      </c>
      <c r="AH70" t="str">
        <f>CONCATENATE(D70,"|",B70,"|",C70,"|",E70,"|",ROUND(W70,2),"|",ROUND(X70,2),"|",ROUND(Y70,2),"|",ROUND(AB70,2),"|",ROUND(AC70,2),"|",ROUND(AD70,2),"|",ROUND(Z70,2),"|",ROUND(AE70,2),"|",ROUND(AA70*100,2),"%|",ROUND(AF70*100,2),"%|",ROUND(AG70*100,2),"%")</f>
        <v>Illyasviel von Einzbern|5|Caster|QAAAB|2.6|9.81|0.32|4.82|1.54|0.47|35.35|9.9|56.12%|30.87%|43.49%</v>
      </c>
    </row>
    <row r="71" spans="1:34" x14ac:dyDescent="0.25">
      <c r="A71">
        <v>88</v>
      </c>
      <c r="B71">
        <v>5</v>
      </c>
      <c r="C71" t="s">
        <v>91</v>
      </c>
      <c r="D71" t="s">
        <v>103</v>
      </c>
      <c r="E71" t="s">
        <v>36</v>
      </c>
      <c r="F71" s="3">
        <v>2</v>
      </c>
      <c r="G71" s="3">
        <v>3</v>
      </c>
      <c r="H71" s="4">
        <v>1</v>
      </c>
      <c r="I71" s="4">
        <v>2</v>
      </c>
      <c r="J71" s="2">
        <v>2</v>
      </c>
      <c r="K71" s="2">
        <v>1</v>
      </c>
      <c r="L71" s="6">
        <v>1.07</v>
      </c>
      <c r="M71" s="5">
        <v>12.2</v>
      </c>
      <c r="N71" s="3">
        <v>10</v>
      </c>
      <c r="O71" s="4">
        <v>0</v>
      </c>
      <c r="P71" s="2">
        <f>25/5</f>
        <v>5</v>
      </c>
      <c r="Q71" s="6">
        <v>0</v>
      </c>
      <c r="R71" s="5">
        <v>0</v>
      </c>
      <c r="S71" s="6">
        <v>0</v>
      </c>
      <c r="T71" s="5">
        <v>0</v>
      </c>
      <c r="U71">
        <f>VLOOKUP(C71,classOrder,2,FALSE)</f>
        <v>4</v>
      </c>
      <c r="V71" s="7">
        <f>F71+H71+J71</f>
        <v>5</v>
      </c>
      <c r="W71" s="12">
        <f>L71*(firstCardNpBonus+VLOOKUP($W$1, cardNpValue, 2, FALSE)*(1+(N71/100))*(1+(Q71/100)))*G71</f>
        <v>8.5065000000000026</v>
      </c>
      <c r="X71" s="13">
        <f>L71*(firstCardNpBonus+VLOOKUP($X$1, cardNpValue, 2,FALSE)*(1+(O71/100))*(1+(Q71/100)))*I71</f>
        <v>11.770000000000001</v>
      </c>
      <c r="Y71" s="14">
        <f>L71*(firstCardNpBonus+VLOOKUP($Y$1, cardNpValue, 2,FALSE)*(1+(P71/100))*(1+(Q71/100)))*K71</f>
        <v>1.07</v>
      </c>
      <c r="Z71" s="15">
        <f>F71*W71+H71*X71+J71*Y71+S71</f>
        <v>30.923000000000009</v>
      </c>
      <c r="AA71" s="8">
        <f>Z71/maxTotalNpGain</f>
        <v>0.49098099345732188</v>
      </c>
      <c r="AB71" s="12">
        <f>((M71/100)+firstCardStarBonus+VLOOKUP($AB$1, cardStarValue, 2, FALSE)*(1+(N71/100))+(R71/100))*G71</f>
        <v>5.2560000000000002</v>
      </c>
      <c r="AC71" s="13">
        <f>((M71/100)+firstCardStarBonus+VLOOKUP($AC$1, cardStarValue, 2,FALSE )*(1+(O71/100))+(R71/100))*I71</f>
        <v>0.64400000000000002</v>
      </c>
      <c r="AD71" s="14">
        <f>((M71/100)+firstCardStarBonus+VLOOKUP($AD$1, cardStarValue, 2, FALSE)*(1+(P71/100))+(R71/100))*K71</f>
        <v>0.47950000000000004</v>
      </c>
      <c r="AE71" s="11">
        <f>AB71*F71+AC71*H71+AD71*J71+T71</f>
        <v>12.115</v>
      </c>
      <c r="AF71" s="9">
        <f>AE71/maxTotalStarGen</f>
        <v>0.37782629034773119</v>
      </c>
      <c r="AG71" s="10">
        <f>(AA71+AF71)/2</f>
        <v>0.43440364190252656</v>
      </c>
      <c r="AH71" t="str">
        <f>CONCATENATE(D71,"|",B71,"|",C71,"|",E71,"|",ROUND(W71,2),"|",ROUND(X71,2),"|",ROUND(Y71,2),"|",ROUND(AB71,2),"|",ROUND(AC71,2),"|",ROUND(AD71,2),"|",ROUND(Z71,2),"|",ROUND(AE71,2),"|",ROUND(AA71*100,2),"%|",ROUND(AF71*100,2),"%|",ROUND(AG71*100,2),"%")</f>
        <v>Brynhildr|5|Lancer|QQABB|8.51|11.77|1.07|5.26|0.64|0.48|30.92|12.12|49.1%|37.78%|43.44%</v>
      </c>
    </row>
    <row r="72" spans="1:34" x14ac:dyDescent="0.25">
      <c r="A72">
        <v>105</v>
      </c>
      <c r="B72">
        <v>3</v>
      </c>
      <c r="C72" t="s">
        <v>63</v>
      </c>
      <c r="D72" t="s">
        <v>78</v>
      </c>
      <c r="E72" t="s">
        <v>67</v>
      </c>
      <c r="F72" s="3">
        <v>2</v>
      </c>
      <c r="G72" s="3">
        <v>2</v>
      </c>
      <c r="H72" s="4">
        <v>2</v>
      </c>
      <c r="I72" s="4">
        <v>3</v>
      </c>
      <c r="J72" s="2">
        <v>1</v>
      </c>
      <c r="K72" s="2">
        <v>4</v>
      </c>
      <c r="L72" s="6">
        <v>0.56000000000000005</v>
      </c>
      <c r="M72" s="5">
        <v>8</v>
      </c>
      <c r="N72" s="3">
        <v>7</v>
      </c>
      <c r="O72" s="4">
        <v>0</v>
      </c>
      <c r="P72" s="2">
        <v>0</v>
      </c>
      <c r="Q72" s="6">
        <v>0</v>
      </c>
      <c r="R72" s="5">
        <v>0</v>
      </c>
      <c r="S72" s="6">
        <f>50/6</f>
        <v>8.3333333333333339</v>
      </c>
      <c r="T72" s="5">
        <v>0</v>
      </c>
      <c r="U72">
        <f>VLOOKUP(C72,classOrder,2,FALSE)</f>
        <v>3</v>
      </c>
      <c r="V72" s="7">
        <f>F72+H72+J72</f>
        <v>5</v>
      </c>
      <c r="W72" s="12">
        <f>L72*(firstCardNpBonus+VLOOKUP($W$1, cardNpValue, 2, FALSE)*(1+(N72/100))*(1+(Q72/100)))*G72</f>
        <v>2.9176000000000002</v>
      </c>
      <c r="X72" s="13">
        <f>L72*(firstCardNpBonus+VLOOKUP($X$1, cardNpValue, 2,FALSE)*(1+(O72/100))*(1+(Q72/100)))*I72</f>
        <v>9.24</v>
      </c>
      <c r="Y72" s="14">
        <f>L72*(firstCardNpBonus+VLOOKUP($Y$1, cardNpValue, 2,FALSE)*(1+(P72/100))*(1+(Q72/100)))*K72</f>
        <v>2.2400000000000002</v>
      </c>
      <c r="Z72" s="15">
        <f>F72*W72+H72*X72+J72*Y72+S72</f>
        <v>34.888533333333335</v>
      </c>
      <c r="AA72" s="8">
        <f>Z72/maxTotalNpGain</f>
        <v>0.55394388501338443</v>
      </c>
      <c r="AB72" s="12">
        <f>((M72/100)+firstCardStarBonus+VLOOKUP($AB$1, cardStarValue, 2, FALSE)*(1+(N72/100))+(R72/100))*G72</f>
        <v>3.3420000000000005</v>
      </c>
      <c r="AC72" s="13">
        <f>((M72/100)+firstCardStarBonus+VLOOKUP($AC$1, cardStarValue, 2,FALSE )*(1+(O72/100))+(R72/100))*I72</f>
        <v>0.84000000000000008</v>
      </c>
      <c r="AD72" s="14">
        <f>((M72/100)+firstCardStarBonus+VLOOKUP($AD$1, cardStarValue, 2, FALSE)*(1+(P72/100))+(R72/100))*K72</f>
        <v>1.7200000000000002</v>
      </c>
      <c r="AE72" s="11">
        <f>AB72*F72+AC72*H72+AD72*J72+T72</f>
        <v>10.084000000000001</v>
      </c>
      <c r="AF72" s="9">
        <f>AE72/maxTotalStarGen</f>
        <v>0.31448619990644011</v>
      </c>
      <c r="AG72" s="10">
        <f>(AA72+AF72)/2</f>
        <v>0.43421504245991227</v>
      </c>
      <c r="AH72" t="str">
        <f>CONCATENATE(D72,"|",B72,"|",C72,"|",E72,"|",ROUND(W72,2),"|",ROUND(X72,2),"|",ROUND(Y72,2),"|",ROUND(AB72,2),"|",ROUND(AC72,2),"|",ROUND(AD72,2),"|",ROUND(Z72,2),"|",ROUND(AE72,2),"|",ROUND(AA72*100,2),"%|",ROUND(AF72*100,2),"%|",ROUND(AG72*100,2),"%")</f>
        <v>Billy The Kid|3|Archer|QQAAB|2.92|9.24|2.24|3.34|0.84|1.72|34.89|10.08|55.39%|31.45%|43.42%</v>
      </c>
    </row>
    <row r="73" spans="1:34" x14ac:dyDescent="0.25">
      <c r="A73">
        <v>35</v>
      </c>
      <c r="B73">
        <v>3</v>
      </c>
      <c r="C73" t="s">
        <v>133</v>
      </c>
      <c r="D73" t="s">
        <v>138</v>
      </c>
      <c r="E73" t="s">
        <v>64</v>
      </c>
      <c r="F73" s="3">
        <v>1</v>
      </c>
      <c r="G73" s="3">
        <v>2</v>
      </c>
      <c r="H73" s="4">
        <v>3</v>
      </c>
      <c r="I73" s="4">
        <v>2</v>
      </c>
      <c r="J73" s="2">
        <v>1</v>
      </c>
      <c r="K73" s="2">
        <v>1</v>
      </c>
      <c r="L73" s="6">
        <v>0.81</v>
      </c>
      <c r="M73" s="5">
        <v>11</v>
      </c>
      <c r="N73" s="3">
        <v>0</v>
      </c>
      <c r="O73" s="4">
        <v>7</v>
      </c>
      <c r="P73" s="2">
        <v>0</v>
      </c>
      <c r="Q73" s="6">
        <v>0</v>
      </c>
      <c r="R73" s="5">
        <v>0</v>
      </c>
      <c r="S73" s="6">
        <v>0</v>
      </c>
      <c r="T73" s="5">
        <f>9*3/5</f>
        <v>5.4</v>
      </c>
      <c r="U73">
        <f>VLOOKUP(C73,classOrder,2,FALSE)</f>
        <v>6</v>
      </c>
      <c r="V73" s="7">
        <f>F73+H73+J73</f>
        <v>5</v>
      </c>
      <c r="W73" s="12">
        <f>L73*(firstCardNpBonus+VLOOKUP($W$1, cardNpValue, 2, FALSE)*(1+(N73/100))*(1+(Q73/100)))*G73</f>
        <v>4.0500000000000007</v>
      </c>
      <c r="X73" s="13">
        <f>L73*(firstCardNpBonus+VLOOKUP($X$1, cardNpValue, 2,FALSE)*(1+(O73/100))*(1+(Q73/100)))*I73</f>
        <v>9.420300000000001</v>
      </c>
      <c r="Y73" s="14">
        <f>L73*(firstCardNpBonus+VLOOKUP($Y$1, cardNpValue, 2,FALSE)*(1+(P73/100))*(1+(Q73/100)))*K73</f>
        <v>0.81</v>
      </c>
      <c r="Z73" s="15">
        <f>F73*W73+H73*X73+J73*Y73+S73</f>
        <v>33.120900000000006</v>
      </c>
      <c r="AA73" s="8">
        <f>Z73/maxTotalNpGain</f>
        <v>0.52587822611650259</v>
      </c>
      <c r="AB73" s="12">
        <f>((M73/100)+firstCardStarBonus+VLOOKUP($AB$1, cardStarValue, 2, FALSE)*(1+(N73/100))+(R73/100))*G73</f>
        <v>3.22</v>
      </c>
      <c r="AC73" s="13">
        <f>((M73/100)+firstCardStarBonus+VLOOKUP($AC$1, cardStarValue, 2,FALSE )*(1+(O73/100))+(R73/100))*I73</f>
        <v>0.62</v>
      </c>
      <c r="AD73" s="14">
        <f>((M73/100)+firstCardStarBonus+VLOOKUP($AD$1, cardStarValue, 2, FALSE)*(1+(P73/100))+(R73/100))*K73</f>
        <v>0.45999999999999996</v>
      </c>
      <c r="AE73" s="11">
        <f>AB73*F73+AC73*H73+AD73*J73+T73</f>
        <v>10.940000000000001</v>
      </c>
      <c r="AF73" s="9">
        <f>AE73/maxTotalStarGen</f>
        <v>0.34118197411507883</v>
      </c>
      <c r="AG73" s="10">
        <f>(AA73+AF73)/2</f>
        <v>0.43353010011579074</v>
      </c>
      <c r="AH73" t="str">
        <f>CONCATENATE(D73,"|",B73,"|",C73,"|",E73,"|",ROUND(W73,2),"|",ROUND(X73,2),"|",ROUND(Y73,2),"|",ROUND(AB73,2),"|",ROUND(AC73,2),"|",ROUND(AD73,2),"|",ROUND(Z73,2),"|",ROUND(AE73,2),"|",ROUND(AA73*100,2),"%|",ROUND(AF73*100,2),"%|",ROUND(AG73*100,2),"%")</f>
        <v>Mephistopheles|3|Caster|QAAAB|4.05|9.42|0.81|3.22|0.62|0.46|33.12|10.94|52.59%|34.12%|43.35%</v>
      </c>
    </row>
    <row r="74" spans="1:34" x14ac:dyDescent="0.25">
      <c r="A74">
        <v>107</v>
      </c>
      <c r="B74">
        <v>0</v>
      </c>
      <c r="C74" t="s">
        <v>213</v>
      </c>
      <c r="D74" t="s">
        <v>216</v>
      </c>
      <c r="E74" t="s">
        <v>67</v>
      </c>
      <c r="F74" s="3">
        <v>2</v>
      </c>
      <c r="G74" s="3">
        <v>3</v>
      </c>
      <c r="H74" s="4">
        <v>2</v>
      </c>
      <c r="I74" s="4">
        <v>2</v>
      </c>
      <c r="J74" s="2">
        <v>1</v>
      </c>
      <c r="K74" s="2">
        <v>1</v>
      </c>
      <c r="L74" s="6">
        <v>0.79</v>
      </c>
      <c r="M74" s="5">
        <v>6</v>
      </c>
      <c r="N74" s="3">
        <f>40/8</f>
        <v>5</v>
      </c>
      <c r="O74" s="4">
        <v>0</v>
      </c>
      <c r="P74" s="2">
        <f>50/6</f>
        <v>8.3333333333333339</v>
      </c>
      <c r="Q74" s="6">
        <v>0</v>
      </c>
      <c r="R74" s="5">
        <v>0</v>
      </c>
      <c r="S74" s="6">
        <v>2</v>
      </c>
      <c r="T74" s="5">
        <v>0</v>
      </c>
      <c r="U74">
        <f>VLOOKUP(C74,classOrder,2,FALSE)</f>
        <v>10</v>
      </c>
      <c r="V74" s="7">
        <f>F74+H74+J74</f>
        <v>5</v>
      </c>
      <c r="W74" s="12">
        <f>L74*(firstCardNpBonus+VLOOKUP($W$1, cardNpValue, 2, FALSE)*(1+(N74/100))*(1+(Q74/100)))*G74</f>
        <v>6.1027500000000003</v>
      </c>
      <c r="X74" s="13">
        <f>L74*(firstCardNpBonus+VLOOKUP($X$1, cardNpValue, 2,FALSE)*(1+(O74/100))*(1+(Q74/100)))*I74</f>
        <v>8.6900000000000013</v>
      </c>
      <c r="Y74" s="14">
        <f>L74*(firstCardNpBonus+VLOOKUP($Y$1, cardNpValue, 2,FALSE)*(1+(P74/100))*(1+(Q74/100)))*K74</f>
        <v>0.79</v>
      </c>
      <c r="Z74" s="15">
        <f>F74*W74+H74*X74+J74*Y74+S74</f>
        <v>32.375500000000002</v>
      </c>
      <c r="AA74" s="8">
        <f>Z74/maxTotalNpGain</f>
        <v>0.51404311204208908</v>
      </c>
      <c r="AB74" s="12">
        <f>((M74/100)+firstCardStarBonus+VLOOKUP($AB$1, cardStarValue, 2, FALSE)*(1+(N74/100))+(R74/100))*G74</f>
        <v>4.8750000000000009</v>
      </c>
      <c r="AC74" s="13">
        <f>((M74/100)+firstCardStarBonus+VLOOKUP($AC$1, cardStarValue, 2,FALSE )*(1+(O74/100))+(R74/100))*I74</f>
        <v>0.52</v>
      </c>
      <c r="AD74" s="14">
        <f>((M74/100)+firstCardStarBonus+VLOOKUP($AD$1, cardStarValue, 2, FALSE)*(1+(P74/100))+(R74/100))*K74</f>
        <v>0.42249999999999999</v>
      </c>
      <c r="AE74" s="11">
        <f>AB74*F74+AC74*H74+AD74*J74+T74</f>
        <v>11.212500000000002</v>
      </c>
      <c r="AF74" s="9">
        <f>AE74/maxTotalStarGen</f>
        <v>0.34968033681584293</v>
      </c>
      <c r="AG74" s="10">
        <f>(AA74+AF74)/2</f>
        <v>0.43186172442896598</v>
      </c>
      <c r="AH74" t="str">
        <f>CONCATENATE(D74,"|",B74,"|",C74,"|",E74,"|",ROUND(W74,2),"|",ROUND(X74,2),"|",ROUND(Y74,2),"|",ROUND(AB74,2),"|",ROUND(AC74,2),"|",ROUND(AD74,2),"|",ROUND(Z74,2),"|",ROUND(AE74,2),"|",ROUND(AA74*100,2),"%|",ROUND(AF74*100,2),"%|",ROUND(AG74*100,2),"%")</f>
        <v>Angra Mainyu|0|Avenger|QQAAB|6.1|8.69|0.79|4.88|0.52|0.42|32.38|11.21|51.4%|34.97%|43.19%</v>
      </c>
    </row>
    <row r="75" spans="1:34" x14ac:dyDescent="0.25">
      <c r="A75">
        <v>70</v>
      </c>
      <c r="B75">
        <v>5</v>
      </c>
      <c r="C75" t="s">
        <v>91</v>
      </c>
      <c r="D75" t="s">
        <v>99</v>
      </c>
      <c r="E75" t="s">
        <v>36</v>
      </c>
      <c r="F75" s="3">
        <v>2</v>
      </c>
      <c r="G75" s="3">
        <v>2</v>
      </c>
      <c r="H75" s="4">
        <v>1</v>
      </c>
      <c r="I75" s="4">
        <v>3</v>
      </c>
      <c r="J75" s="2">
        <v>2</v>
      </c>
      <c r="K75" s="2">
        <v>6</v>
      </c>
      <c r="L75" s="6">
        <v>0.71</v>
      </c>
      <c r="M75" s="5">
        <v>12.2</v>
      </c>
      <c r="N75" s="3">
        <f>50/6</f>
        <v>8.3333333333333339</v>
      </c>
      <c r="O75" s="4">
        <v>0</v>
      </c>
      <c r="P75" s="2">
        <v>0</v>
      </c>
      <c r="Q75" s="6">
        <v>0</v>
      </c>
      <c r="R75" s="5">
        <v>0</v>
      </c>
      <c r="S75" s="6">
        <v>0</v>
      </c>
      <c r="T75" s="5">
        <v>0</v>
      </c>
      <c r="U75">
        <f>VLOOKUP(C75,classOrder,2,FALSE)</f>
        <v>4</v>
      </c>
      <c r="V75" s="7">
        <f>F75+H75+J75</f>
        <v>5</v>
      </c>
      <c r="W75" s="12">
        <f>L75*(firstCardNpBonus+VLOOKUP($W$1, cardNpValue, 2, FALSE)*(1+(N75/100))*(1+(Q75/100)))*G75</f>
        <v>3.7275</v>
      </c>
      <c r="X75" s="13">
        <f>L75*(firstCardNpBonus+VLOOKUP($X$1, cardNpValue, 2,FALSE)*(1+(O75/100))*(1+(Q75/100)))*I75</f>
        <v>11.715</v>
      </c>
      <c r="Y75" s="14">
        <f>L75*(firstCardNpBonus+VLOOKUP($Y$1, cardNpValue, 2,FALSE)*(1+(P75/100))*(1+(Q75/100)))*K75</f>
        <v>4.26</v>
      </c>
      <c r="Z75" s="15">
        <f>F75*W75+H75*X75+J75*Y75+S75</f>
        <v>27.69</v>
      </c>
      <c r="AA75" s="8">
        <f>Z75/maxTotalNpGain</f>
        <v>0.43964892503422176</v>
      </c>
      <c r="AB75" s="12">
        <f>((M75/100)+firstCardStarBonus+VLOOKUP($AB$1, cardStarValue, 2, FALSE)*(1+(N75/100))+(R75/100))*G75</f>
        <v>3.4606666666666666</v>
      </c>
      <c r="AC75" s="13">
        <f>((M75/100)+firstCardStarBonus+VLOOKUP($AC$1, cardStarValue, 2,FALSE )*(1+(O75/100))+(R75/100))*I75</f>
        <v>0.96599999999999997</v>
      </c>
      <c r="AD75" s="14">
        <f>((M75/100)+firstCardStarBonus+VLOOKUP($AD$1, cardStarValue, 2, FALSE)*(1+(P75/100))+(R75/100))*K75</f>
        <v>2.8319999999999999</v>
      </c>
      <c r="AE75" s="11">
        <f>AB75*F75+AC75*H75+AD75*J75+T75</f>
        <v>13.551333333333332</v>
      </c>
      <c r="AF75" s="9">
        <f>AE75/maxTotalStarGen</f>
        <v>0.42262071833255366</v>
      </c>
      <c r="AG75" s="10">
        <f>(AA75+AF75)/2</f>
        <v>0.43113482168338768</v>
      </c>
      <c r="AH75" t="str">
        <f>CONCATENATE(D75,"|",B75,"|",C75,"|",E75,"|",ROUND(W75,2),"|",ROUND(X75,2),"|",ROUND(Y75,2),"|",ROUND(AB75,2),"|",ROUND(AC75,2),"|",ROUND(AD75,2),"|",ROUND(Z75,2),"|",ROUND(AE75,2),"|",ROUND(AA75*100,2),"%|",ROUND(AF75*100,2),"%|",ROUND(AG75*100,2),"%")</f>
        <v>Scathach|5|Lancer|QQABB|3.73|11.72|4.26|3.46|0.97|2.83|27.69|13.55|43.96%|42.26%|43.11%</v>
      </c>
    </row>
    <row r="76" spans="1:34" x14ac:dyDescent="0.25">
      <c r="A76">
        <v>11</v>
      </c>
      <c r="B76">
        <v>4</v>
      </c>
      <c r="C76" t="s">
        <v>63</v>
      </c>
      <c r="D76" t="s">
        <v>62</v>
      </c>
      <c r="E76" t="s">
        <v>64</v>
      </c>
      <c r="F76" s="3">
        <v>1</v>
      </c>
      <c r="G76" s="3">
        <v>2</v>
      </c>
      <c r="H76" s="4">
        <v>3</v>
      </c>
      <c r="I76" s="4">
        <v>3</v>
      </c>
      <c r="J76" s="2">
        <v>1</v>
      </c>
      <c r="K76" s="2">
        <v>1</v>
      </c>
      <c r="L76" s="6">
        <v>0.51</v>
      </c>
      <c r="M76" s="5">
        <v>7.9</v>
      </c>
      <c r="N76" s="3">
        <f>40/5</f>
        <v>8</v>
      </c>
      <c r="O76" s="4">
        <f>40/5</f>
        <v>8</v>
      </c>
      <c r="P76" s="2">
        <f>40/5</f>
        <v>8</v>
      </c>
      <c r="Q76" s="6">
        <v>0</v>
      </c>
      <c r="R76" s="5">
        <f>100*3/6</f>
        <v>50</v>
      </c>
      <c r="S76" s="6">
        <v>0</v>
      </c>
      <c r="T76" s="5">
        <v>0</v>
      </c>
      <c r="U76">
        <f>VLOOKUP(C76,classOrder,2,FALSE)</f>
        <v>3</v>
      </c>
      <c r="V76" s="7">
        <f>F76+H76+J76</f>
        <v>5</v>
      </c>
      <c r="W76" s="12">
        <f>L76*(firstCardNpBonus+VLOOKUP($W$1, cardNpValue, 2, FALSE)*(1+(N76/100))*(1+(Q76/100)))*G76</f>
        <v>2.6724000000000001</v>
      </c>
      <c r="X76" s="13">
        <f>L76*(firstCardNpBonus+VLOOKUP($X$1, cardNpValue, 2,FALSE)*(1+(O76/100))*(1+(Q76/100)))*I76</f>
        <v>8.9658000000000015</v>
      </c>
      <c r="Y76" s="14">
        <f>L76*(firstCardNpBonus+VLOOKUP($Y$1, cardNpValue, 2,FALSE)*(1+(P76/100))*(1+(Q76/100)))*K76</f>
        <v>0.51</v>
      </c>
      <c r="Z76" s="15">
        <f>F76*W76+H76*X76+J76*Y76+S76</f>
        <v>30.079800000000006</v>
      </c>
      <c r="AA76" s="8">
        <f>Z76/maxTotalNpGain</f>
        <v>0.47759305652742456</v>
      </c>
      <c r="AB76" s="12">
        <f>((M76/100)+firstCardStarBonus+VLOOKUP($AB$1, cardStarValue, 2, FALSE)*(1+(N76/100))+(R76/100))*G76</f>
        <v>4.3660000000000005</v>
      </c>
      <c r="AC76" s="13">
        <f>((M76/100)+firstCardStarBonus+VLOOKUP($AC$1, cardStarValue, 2,FALSE )*(1+(O76/100))+(R76/100))*I76</f>
        <v>2.3370000000000002</v>
      </c>
      <c r="AD76" s="14">
        <f>((M76/100)+firstCardStarBonus+VLOOKUP($AD$1, cardStarValue, 2, FALSE)*(1+(P76/100))+(R76/100))*K76</f>
        <v>0.94100000000000006</v>
      </c>
      <c r="AE76" s="11">
        <f>AB76*F76+AC76*H76+AD76*J76+T76</f>
        <v>12.318000000000003</v>
      </c>
      <c r="AF76" s="9">
        <f>AE76/maxTotalStarGen</f>
        <v>0.38415718072664912</v>
      </c>
      <c r="AG76" s="10">
        <f>(AA76+AF76)/2</f>
        <v>0.43087511862703687</v>
      </c>
      <c r="AH76" t="str">
        <f>CONCATENATE(D76,"|",B76,"|",C76,"|",E76,"|",ROUND(W76,2),"|",ROUND(X76,2),"|",ROUND(Y76,2),"|",ROUND(AB76,2),"|",ROUND(AC76,2),"|",ROUND(AD76,2),"|",ROUND(Z76,2),"|",ROUND(AE76,2),"|",ROUND(AA76*100,2),"%|",ROUND(AF76*100,2),"%|",ROUND(AG76*100,2),"%")</f>
        <v>EMIYA|4|Archer|QAAAB|2.67|8.97|0.51|4.37|2.34|0.94|30.08|12.32|47.76%|38.42%|43.09%</v>
      </c>
    </row>
    <row r="77" spans="1:34" x14ac:dyDescent="0.25">
      <c r="A77">
        <v>90</v>
      </c>
      <c r="B77">
        <v>5</v>
      </c>
      <c r="C77" t="s">
        <v>4</v>
      </c>
      <c r="D77" t="s">
        <v>52</v>
      </c>
      <c r="E77" t="s">
        <v>6</v>
      </c>
      <c r="F77" s="3">
        <v>1</v>
      </c>
      <c r="G77" s="3">
        <v>3</v>
      </c>
      <c r="H77" s="4">
        <v>2</v>
      </c>
      <c r="I77" s="4">
        <v>3</v>
      </c>
      <c r="J77" s="2">
        <v>2</v>
      </c>
      <c r="K77" s="2">
        <v>1</v>
      </c>
      <c r="L77" s="6">
        <v>0.7</v>
      </c>
      <c r="M77" s="5">
        <v>10.1</v>
      </c>
      <c r="N77" s="3">
        <v>8</v>
      </c>
      <c r="O77" s="4">
        <v>0</v>
      </c>
      <c r="P77" s="2">
        <v>0</v>
      </c>
      <c r="Q77" s="6">
        <f>45/7</f>
        <v>6.4285714285714288</v>
      </c>
      <c r="R77" s="5">
        <f>50/6</f>
        <v>8.3333333333333339</v>
      </c>
      <c r="S77" s="6">
        <v>0</v>
      </c>
      <c r="T77" s="5">
        <f>14/5</f>
        <v>2.8</v>
      </c>
      <c r="U77">
        <f>VLOOKUP(C77,classOrder,2,FALSE)</f>
        <v>2</v>
      </c>
      <c r="V77" s="7">
        <f>F77+H77+J77</f>
        <v>5</v>
      </c>
      <c r="W77" s="12">
        <f>L77*(firstCardNpBonus+VLOOKUP($W$1, cardNpValue, 2, FALSE)*(1+(N77/100))*(1+(Q77/100)))*G77</f>
        <v>5.720699999999999</v>
      </c>
      <c r="X77" s="13">
        <f>L77*(firstCardNpBonus+VLOOKUP($X$1, cardNpValue, 2,FALSE)*(1+(O77/100))*(1+(Q77/100)))*I77</f>
        <v>12.157500000000001</v>
      </c>
      <c r="Y77" s="14">
        <f>L77*(firstCardNpBonus+VLOOKUP($Y$1, cardNpValue, 2,FALSE)*(1+(P77/100))*(1+(Q77/100)))*K77</f>
        <v>0.7</v>
      </c>
      <c r="Z77" s="15">
        <f>F77*W77+H77*X77+J77*Y77+S77</f>
        <v>31.435699999999997</v>
      </c>
      <c r="AA77" s="8">
        <f>Z77/maxTotalNpGain</f>
        <v>0.49912140529787952</v>
      </c>
      <c r="AB77" s="12">
        <f>((M77/100)+firstCardStarBonus+VLOOKUP($AB$1, cardStarValue, 2, FALSE)*(1+(N77/100))+(R77/100))*G77</f>
        <v>5.3650000000000002</v>
      </c>
      <c r="AC77" s="13">
        <f>((M77/100)+firstCardStarBonus+VLOOKUP($AC$1, cardStarValue, 2,FALSE )*(1+(O77/100))+(R77/100))*I77</f>
        <v>1.153</v>
      </c>
      <c r="AD77" s="14">
        <f>((M77/100)+firstCardStarBonus+VLOOKUP($AD$1, cardStarValue, 2, FALSE)*(1+(P77/100))+(R77/100))*K77</f>
        <v>0.53433333333333333</v>
      </c>
      <c r="AE77" s="11">
        <f>AB77*F77+AC77*H77+AD77*J77+T77</f>
        <v>11.539666666666665</v>
      </c>
      <c r="AF77" s="9">
        <f>AE77/maxTotalStarGen</f>
        <v>0.35988356983211184</v>
      </c>
      <c r="AG77" s="10">
        <f>(AA77+AF77)/2</f>
        <v>0.42950248756499565</v>
      </c>
      <c r="AH77" t="str">
        <f>CONCATENATE(D77,"|",B77,"|",C77,"|",E77,"|",ROUND(W77,2),"|",ROUND(X77,2),"|",ROUND(Y77,2),"|",ROUND(AB77,2),"|",ROUND(AC77,2),"|",ROUND(AD77,2),"|",ROUND(Z77,2),"|",ROUND(AE77,2),"|",ROUND(AA77*100,2),"%|",ROUND(AF77*100,2),"%|",ROUND(AG77*100,2),"%")</f>
        <v>Nero Claudius (Bride)|5|Saber|QAABB|5.72|12.16|0.7|5.37|1.15|0.53|31.44|11.54|49.91%|35.99%|42.95%</v>
      </c>
    </row>
    <row r="78" spans="1:34" x14ac:dyDescent="0.25">
      <c r="A78">
        <v>118</v>
      </c>
      <c r="B78">
        <v>5</v>
      </c>
      <c r="C78" t="s">
        <v>114</v>
      </c>
      <c r="D78" t="s">
        <v>130</v>
      </c>
      <c r="E78" t="s">
        <v>6</v>
      </c>
      <c r="F78" s="3">
        <v>1</v>
      </c>
      <c r="G78" s="3">
        <v>5</v>
      </c>
      <c r="H78" s="4">
        <v>2</v>
      </c>
      <c r="I78" s="4">
        <v>3</v>
      </c>
      <c r="J78" s="2">
        <v>2</v>
      </c>
      <c r="K78" s="2">
        <v>1</v>
      </c>
      <c r="L78" s="6">
        <v>0.59</v>
      </c>
      <c r="M78" s="5">
        <v>9</v>
      </c>
      <c r="N78" s="3">
        <v>11</v>
      </c>
      <c r="O78" s="4">
        <v>0</v>
      </c>
      <c r="P78" s="2">
        <v>0</v>
      </c>
      <c r="Q78" s="6">
        <v>0</v>
      </c>
      <c r="R78" s="5">
        <v>0</v>
      </c>
      <c r="S78" s="6">
        <f>20/6</f>
        <v>3.3333333333333335</v>
      </c>
      <c r="T78" s="5">
        <v>0</v>
      </c>
      <c r="U78">
        <f>VLOOKUP(C78,classOrder,2,FALSE)</f>
        <v>5</v>
      </c>
      <c r="V78" s="7">
        <f>F78+H78+J78</f>
        <v>5</v>
      </c>
      <c r="W78" s="12">
        <f>L78*(firstCardNpBonus+VLOOKUP($W$1, cardNpValue, 2, FALSE)*(1+(N78/100))*(1+(Q78/100)))*G78</f>
        <v>7.8617499999999998</v>
      </c>
      <c r="X78" s="13">
        <f>L78*(firstCardNpBonus+VLOOKUP($X$1, cardNpValue, 2,FALSE)*(1+(O78/100))*(1+(Q78/100)))*I78</f>
        <v>9.7349999999999994</v>
      </c>
      <c r="Y78" s="14">
        <f>L78*(firstCardNpBonus+VLOOKUP($Y$1, cardNpValue, 2,FALSE)*(1+(P78/100))*(1+(Q78/100)))*K78</f>
        <v>0.59</v>
      </c>
      <c r="Z78" s="15">
        <f>F78*W78+H78*X78+J78*Y78+S78</f>
        <v>31.845083333333331</v>
      </c>
      <c r="AA78" s="8">
        <f>Z78/maxTotalNpGain</f>
        <v>0.50562140321867854</v>
      </c>
      <c r="AB78" s="12">
        <f>((M78/100)+firstCardStarBonus+VLOOKUP($AB$1, cardStarValue, 2, FALSE)*(1+(N78/100))+(R78/100))*G78</f>
        <v>8.6650000000000009</v>
      </c>
      <c r="AC78" s="13">
        <f>((M78/100)+firstCardStarBonus+VLOOKUP($AC$1, cardStarValue, 2,FALSE )*(1+(O78/100))+(R78/100))*I78</f>
        <v>0.87000000000000011</v>
      </c>
      <c r="AD78" s="14">
        <f>((M78/100)+firstCardStarBonus+VLOOKUP($AD$1, cardStarValue, 2, FALSE)*(1+(P78/100))+(R78/100))*K78</f>
        <v>0.44000000000000006</v>
      </c>
      <c r="AE78" s="11">
        <f>AB78*F78+AC78*H78+AD78*J78+T78</f>
        <v>11.285000000000002</v>
      </c>
      <c r="AF78" s="9">
        <f>AE78/maxTotalStarGen</f>
        <v>0.35194136909402784</v>
      </c>
      <c r="AG78" s="10">
        <f>(AA78+AF78)/2</f>
        <v>0.42878138615635319</v>
      </c>
      <c r="AH78" t="str">
        <f>CONCATENATE(D78,"|",B78,"|",C78,"|",E78,"|",ROUND(W78,2),"|",ROUND(X78,2),"|",ROUND(Y78,2),"|",ROUND(AB78,2),"|",ROUND(AC78,2),"|",ROUND(AD78,2),"|",ROUND(Z78,2),"|",ROUND(AE78,2),"|",ROUND(AA78*100,2),"%|",ROUND(AF78*100,2),"%|",ROUND(AG78*100,2),"%")</f>
        <v>Ramesse II|5|Rider|QAABB|7.86|9.74|0.59|8.67|0.87|0.44|31.85|11.29|50.56%|35.19%|42.88%</v>
      </c>
    </row>
    <row r="79" spans="1:34" x14ac:dyDescent="0.25">
      <c r="A79">
        <v>43</v>
      </c>
      <c r="B79">
        <v>2</v>
      </c>
      <c r="C79" t="s">
        <v>164</v>
      </c>
      <c r="D79" t="s">
        <v>169</v>
      </c>
      <c r="E79" t="s">
        <v>111</v>
      </c>
      <c r="F79" s="3">
        <v>3</v>
      </c>
      <c r="G79" s="3">
        <v>2</v>
      </c>
      <c r="H79" s="4">
        <v>1</v>
      </c>
      <c r="I79" s="4">
        <v>2</v>
      </c>
      <c r="J79" s="2">
        <v>1</v>
      </c>
      <c r="K79" s="2">
        <v>1</v>
      </c>
      <c r="L79" s="6">
        <v>1.06</v>
      </c>
      <c r="M79" s="5">
        <v>24.8</v>
      </c>
      <c r="N79" s="3">
        <v>0</v>
      </c>
      <c r="O79" s="4">
        <v>0</v>
      </c>
      <c r="P79" s="2">
        <v>0</v>
      </c>
      <c r="Q79" s="6">
        <v>0</v>
      </c>
      <c r="R79" s="5">
        <v>4</v>
      </c>
      <c r="S79" s="6">
        <v>0</v>
      </c>
      <c r="T79" s="5">
        <v>0</v>
      </c>
      <c r="U79">
        <f>VLOOKUP(C79,classOrder,2,FALSE)</f>
        <v>7</v>
      </c>
      <c r="V79" s="7">
        <f>F79+H79+J79</f>
        <v>5</v>
      </c>
      <c r="W79" s="12">
        <f>L79*(firstCardNpBonus+VLOOKUP($W$1, cardNpValue, 2, FALSE)*(1+(N79/100))*(1+(Q79/100)))*G79</f>
        <v>5.3000000000000007</v>
      </c>
      <c r="X79" s="13">
        <f>L79*(firstCardNpBonus+VLOOKUP($X$1, cardNpValue, 2,FALSE)*(1+(O79/100))*(1+(Q79/100)))*I79</f>
        <v>11.66</v>
      </c>
      <c r="Y79" s="14">
        <f>L79*(firstCardNpBonus+VLOOKUP($Y$1, cardNpValue, 2,FALSE)*(1+(P79/100))*(1+(Q79/100)))*K79</f>
        <v>1.06</v>
      </c>
      <c r="Z79" s="15">
        <f>F79*W79+H79*X79+J79*Y79+S79</f>
        <v>28.62</v>
      </c>
      <c r="AA79" s="8">
        <f>Z79/maxTotalNpGain</f>
        <v>0.45441503194219668</v>
      </c>
      <c r="AB79" s="12">
        <f>((M79/100)+firstCardStarBonus+VLOOKUP($AB$1, cardStarValue, 2, FALSE)*(1+(N79/100))+(R79/100))*G79</f>
        <v>3.5760000000000001</v>
      </c>
      <c r="AC79" s="13">
        <f>((M79/100)+firstCardStarBonus+VLOOKUP($AC$1, cardStarValue, 2,FALSE )*(1+(O79/100))+(R79/100))*I79</f>
        <v>0.97599999999999998</v>
      </c>
      <c r="AD79" s="14">
        <f>((M79/100)+firstCardStarBonus+VLOOKUP($AD$1, cardStarValue, 2, FALSE)*(1+(P79/100))+(R79/100))*K79</f>
        <v>0.63800000000000001</v>
      </c>
      <c r="AE79" s="11">
        <f>AB79*F79+AC79*H79+AD79*J79+T79</f>
        <v>12.342000000000001</v>
      </c>
      <c r="AF79" s="9">
        <f>AE79/maxTotalStarGen</f>
        <v>0.38490566037735852</v>
      </c>
      <c r="AG79" s="10">
        <f>(AA79+AF79)/2</f>
        <v>0.4196603461597776</v>
      </c>
      <c r="AH79" t="str">
        <f>CONCATENATE(D79,"|",B79,"|",C79,"|",E79,"|",ROUND(W79,2),"|",ROUND(X79,2),"|",ROUND(Y79,2),"|",ROUND(AB79,2),"|",ROUND(AC79,2),"|",ROUND(AD79,2),"|",ROUND(Z79,2),"|",ROUND(AE79,2),"|",ROUND(AA79*100,2),"%|",ROUND(AF79*100,2),"%|",ROUND(AG79*100,2),"%")</f>
        <v>Charles-Henri Sanson|2|Assassin|QQQAB|5.3|11.66|1.06|3.58|0.98|0.64|28.62|12.34|45.44%|38.49%|41.97%</v>
      </c>
    </row>
    <row r="80" spans="1:34" x14ac:dyDescent="0.25">
      <c r="A80">
        <v>106</v>
      </c>
      <c r="B80">
        <v>5</v>
      </c>
      <c r="C80" t="s">
        <v>213</v>
      </c>
      <c r="D80" t="s">
        <v>215</v>
      </c>
      <c r="E80" t="s">
        <v>6</v>
      </c>
      <c r="F80" s="3">
        <v>1</v>
      </c>
      <c r="G80" s="3">
        <v>3</v>
      </c>
      <c r="H80" s="4">
        <v>2</v>
      </c>
      <c r="I80" s="4">
        <v>2</v>
      </c>
      <c r="J80" s="2">
        <v>2</v>
      </c>
      <c r="K80" s="2">
        <v>4</v>
      </c>
      <c r="L80" s="6">
        <v>0.83</v>
      </c>
      <c r="M80" s="5">
        <v>6</v>
      </c>
      <c r="N80" s="3">
        <v>0</v>
      </c>
      <c r="O80" s="4">
        <v>0</v>
      </c>
      <c r="P80" s="2">
        <v>0</v>
      </c>
      <c r="Q80" s="6">
        <v>0</v>
      </c>
      <c r="R80" s="5">
        <v>0</v>
      </c>
      <c r="S80" s="6">
        <v>4</v>
      </c>
      <c r="T80" s="5">
        <v>0</v>
      </c>
      <c r="U80">
        <f>VLOOKUP(C80,classOrder,2,FALSE)</f>
        <v>10</v>
      </c>
      <c r="V80" s="7">
        <f>F80+H80+J80</f>
        <v>5</v>
      </c>
      <c r="W80" s="12">
        <f>L80*(firstCardNpBonus+VLOOKUP($W$1, cardNpValue, 2, FALSE)*(1+(N80/100))*(1+(Q80/100)))*G80</f>
        <v>6.2249999999999996</v>
      </c>
      <c r="X80" s="13">
        <f>L80*(firstCardNpBonus+VLOOKUP($X$1, cardNpValue, 2,FALSE)*(1+(O80/100))*(1+(Q80/100)))*I80</f>
        <v>9.129999999999999</v>
      </c>
      <c r="Y80" s="14">
        <f>L80*(firstCardNpBonus+VLOOKUP($Y$1, cardNpValue, 2,FALSE)*(1+(P80/100))*(1+(Q80/100)))*K80</f>
        <v>3.32</v>
      </c>
      <c r="Z80" s="15">
        <f>F80*W80+H80*X80+J80*Y80+S80</f>
        <v>35.125</v>
      </c>
      <c r="AA80" s="8">
        <f>Z80/maxTotalNpGain</f>
        <v>0.55769839262647303</v>
      </c>
      <c r="AB80" s="12">
        <f>((M80/100)+firstCardStarBonus+VLOOKUP($AB$1, cardStarValue, 2, FALSE)*(1+(N80/100))+(R80/100))*G80</f>
        <v>4.68</v>
      </c>
      <c r="AC80" s="13">
        <f>((M80/100)+firstCardStarBonus+VLOOKUP($AC$1, cardStarValue, 2,FALSE )*(1+(O80/100))+(R80/100))*I80</f>
        <v>0.52</v>
      </c>
      <c r="AD80" s="14">
        <f>((M80/100)+firstCardStarBonus+VLOOKUP($AD$1, cardStarValue, 2, FALSE)*(1+(P80/100))+(R80/100))*K80</f>
        <v>1.6400000000000001</v>
      </c>
      <c r="AE80" s="11">
        <f>AB80*F80+AC80*H80+AD80*J80+T80</f>
        <v>9</v>
      </c>
      <c r="AF80" s="9">
        <f>AE80/maxTotalStarGen</f>
        <v>0.28067986901606112</v>
      </c>
      <c r="AG80" s="10">
        <f>(AA80+AF80)/2</f>
        <v>0.41918913082126708</v>
      </c>
      <c r="AH80" t="str">
        <f>CONCATENATE(D80,"|",B80,"|",C80,"|",E80,"|",ROUND(W80,2),"|",ROUND(X80,2),"|",ROUND(Y80,2),"|",ROUND(AB80,2),"|",ROUND(AC80,2),"|",ROUND(AD80,2),"|",ROUND(Z80,2),"|",ROUND(AE80,2),"|",ROUND(AA80*100,2),"%|",ROUND(AF80*100,2),"%|",ROUND(AG80*100,2),"%")</f>
        <v>Jeanne d'Arc (Alter)|5|Avenger|QAABB|6.23|9.13|3.32|4.68|0.52|1.64|35.13|9|55.77%|28.07%|41.92%</v>
      </c>
    </row>
    <row r="81" spans="1:34" x14ac:dyDescent="0.25">
      <c r="A81">
        <v>38</v>
      </c>
      <c r="B81">
        <v>3</v>
      </c>
      <c r="C81" t="s">
        <v>133</v>
      </c>
      <c r="D81" t="s">
        <v>141</v>
      </c>
      <c r="E81" t="s">
        <v>64</v>
      </c>
      <c r="F81" s="3">
        <v>1</v>
      </c>
      <c r="G81" s="3">
        <v>2</v>
      </c>
      <c r="H81" s="4">
        <v>3</v>
      </c>
      <c r="I81" s="4">
        <v>1</v>
      </c>
      <c r="J81" s="2">
        <v>1</v>
      </c>
      <c r="K81" s="2">
        <v>1</v>
      </c>
      <c r="L81" s="6">
        <v>1.6</v>
      </c>
      <c r="M81" s="5">
        <v>10.9</v>
      </c>
      <c r="N81" s="3">
        <v>0</v>
      </c>
      <c r="O81" s="4">
        <v>8</v>
      </c>
      <c r="P81" s="2">
        <v>0</v>
      </c>
      <c r="Q81" s="6">
        <v>0</v>
      </c>
      <c r="R81" s="5">
        <v>0</v>
      </c>
      <c r="S81" s="6">
        <f>30/5</f>
        <v>6</v>
      </c>
      <c r="T81" s="5">
        <v>0</v>
      </c>
      <c r="U81">
        <f>VLOOKUP(C81,classOrder,2,FALSE)</f>
        <v>6</v>
      </c>
      <c r="V81" s="7">
        <f>F81+H81+J81</f>
        <v>5</v>
      </c>
      <c r="W81" s="12">
        <f>L81*(firstCardNpBonus+VLOOKUP($W$1, cardNpValue, 2, FALSE)*(1+(N81/100))*(1+(Q81/100)))*G81</f>
        <v>8</v>
      </c>
      <c r="X81" s="13">
        <f>L81*(firstCardNpBonus+VLOOKUP($X$1, cardNpValue, 2,FALSE)*(1+(O81/100))*(1+(Q81/100)))*I81</f>
        <v>9.3760000000000012</v>
      </c>
      <c r="Y81" s="14">
        <f>L81*(firstCardNpBonus+VLOOKUP($Y$1, cardNpValue, 2,FALSE)*(1+(P81/100))*(1+(Q81/100)))*K81</f>
        <v>1.6</v>
      </c>
      <c r="Z81" s="15">
        <f>F81*W81+H81*X81+J81*Y81+S81</f>
        <v>43.728000000000002</v>
      </c>
      <c r="AA81" s="8">
        <f>Z81/maxTotalNpGain</f>
        <v>0.69429282029239614</v>
      </c>
      <c r="AB81" s="12">
        <f>((M81/100)+firstCardStarBonus+VLOOKUP($AB$1, cardStarValue, 2, FALSE)*(1+(N81/100))+(R81/100))*G81</f>
        <v>3.218</v>
      </c>
      <c r="AC81" s="13">
        <f>((M81/100)+firstCardStarBonus+VLOOKUP($AC$1, cardStarValue, 2,FALSE )*(1+(O81/100))+(R81/100))*I81</f>
        <v>0.309</v>
      </c>
      <c r="AD81" s="14">
        <f>((M81/100)+firstCardStarBonus+VLOOKUP($AD$1, cardStarValue, 2, FALSE)*(1+(P81/100))+(R81/100))*K81</f>
        <v>0.45899999999999996</v>
      </c>
      <c r="AE81" s="11">
        <f>AB81*F81+AC81*H81+AD81*J81+T81</f>
        <v>4.6039999999999992</v>
      </c>
      <c r="AF81" s="9">
        <f>AE81/maxTotalStarGen</f>
        <v>0.1435833463277717</v>
      </c>
      <c r="AG81" s="10">
        <f>(AA81+AF81)/2</f>
        <v>0.41893808331008392</v>
      </c>
      <c r="AH81" t="str">
        <f>CONCATENATE(D81,"|",B81,"|",C81,"|",E81,"|",ROUND(W81,2),"|",ROUND(X81,2),"|",ROUND(Y81,2),"|",ROUND(AB81,2),"|",ROUND(AC81,2),"|",ROUND(AD81,2),"|",ROUND(Z81,2),"|",ROUND(AE81,2),"|",ROUND(AA81*100,2),"%|",ROUND(AF81*100,2),"%|",ROUND(AG81*100,2),"%")</f>
        <v>Cu Chulainn (Caster)|3|Caster|QAAAB|8|9.38|1.6|3.22|0.31|0.46|43.73|4.6|69.43%|14.36%|41.89%</v>
      </c>
    </row>
    <row r="82" spans="1:34" x14ac:dyDescent="0.25">
      <c r="A82">
        <v>97</v>
      </c>
      <c r="B82">
        <v>5</v>
      </c>
      <c r="C82" t="s">
        <v>185</v>
      </c>
      <c r="D82" t="s">
        <v>202</v>
      </c>
      <c r="E82" t="s">
        <v>6</v>
      </c>
      <c r="F82" s="3">
        <v>1</v>
      </c>
      <c r="G82" s="3">
        <v>6</v>
      </c>
      <c r="H82" s="4">
        <v>2</v>
      </c>
      <c r="I82" s="4">
        <v>2</v>
      </c>
      <c r="J82" s="2">
        <v>2</v>
      </c>
      <c r="K82" s="2">
        <v>1</v>
      </c>
      <c r="L82" s="6">
        <v>0.77</v>
      </c>
      <c r="M82" s="5">
        <v>5</v>
      </c>
      <c r="N82" s="3">
        <v>0</v>
      </c>
      <c r="O82" s="4">
        <v>0</v>
      </c>
      <c r="P82" s="2">
        <f>12+50*3/5</f>
        <v>42</v>
      </c>
      <c r="Q82" s="6">
        <v>0</v>
      </c>
      <c r="R82" s="5">
        <v>0</v>
      </c>
      <c r="S82" s="6">
        <v>0</v>
      </c>
      <c r="T82" s="5">
        <v>0</v>
      </c>
      <c r="U82">
        <f>VLOOKUP(C82,classOrder,2,FALSE)</f>
        <v>8</v>
      </c>
      <c r="V82" s="7">
        <f>F82+H82+J82</f>
        <v>5</v>
      </c>
      <c r="W82" s="12">
        <f>L82*(firstCardNpBonus+VLOOKUP($W$1, cardNpValue, 2, FALSE)*(1+(N82/100))*(1+(Q82/100)))*G82</f>
        <v>11.55</v>
      </c>
      <c r="X82" s="13">
        <f>L82*(firstCardNpBonus+VLOOKUP($X$1, cardNpValue, 2,FALSE)*(1+(O82/100))*(1+(Q82/100)))*I82</f>
        <v>8.4700000000000006</v>
      </c>
      <c r="Y82" s="14">
        <f>L82*(firstCardNpBonus+VLOOKUP($Y$1, cardNpValue, 2,FALSE)*(1+(P82/100))*(1+(Q82/100)))*K82</f>
        <v>0.77</v>
      </c>
      <c r="Z82" s="15">
        <f>F82*W82+H82*X82+J82*Y82+S82</f>
        <v>30.03</v>
      </c>
      <c r="AA82" s="8">
        <f>Z82/maxTotalNpGain</f>
        <v>0.47680235531880388</v>
      </c>
      <c r="AB82" s="12">
        <f>((M82/100)+firstCardStarBonus+VLOOKUP($AB$1, cardStarValue, 2, FALSE)*(1+(N82/100))+(R82/100))*G82</f>
        <v>9.3000000000000007</v>
      </c>
      <c r="AC82" s="13">
        <f>((M82/100)+firstCardStarBonus+VLOOKUP($AC$1, cardStarValue, 2,FALSE )*(1+(O82/100))+(R82/100))*I82</f>
        <v>0.5</v>
      </c>
      <c r="AD82" s="14">
        <f>((M82/100)+firstCardStarBonus+VLOOKUP($AD$1, cardStarValue, 2, FALSE)*(1+(P82/100))+(R82/100))*K82</f>
        <v>0.46299999999999997</v>
      </c>
      <c r="AE82" s="11">
        <f>AB82*F82+AC82*H82+AD82*J82+T82</f>
        <v>11.226000000000001</v>
      </c>
      <c r="AF82" s="9">
        <f>AE82/maxTotalStarGen</f>
        <v>0.35010135661936698</v>
      </c>
      <c r="AG82" s="10">
        <f>(AA82+AF82)/2</f>
        <v>0.4134518559690854</v>
      </c>
      <c r="AH82" t="str">
        <f>CONCATENATE(D82,"|",B82,"|",C82,"|",E82,"|",ROUND(W82,2),"|",ROUND(X82,2),"|",ROUND(Y82,2),"|",ROUND(AB82,2),"|",ROUND(AC82,2),"|",ROUND(AD82,2),"|",ROUND(Z82,2),"|",ROUND(AE82,2),"|",ROUND(AA82*100,2),"%|",ROUND(AF82*100,2),"%|",ROUND(AG82*100,2),"%")</f>
        <v>Nightingale|5|Berserker|QAABB|11.55|8.47|0.77|9.3|0.5|0.46|30.03|11.23|47.68%|35.01%|41.35%</v>
      </c>
    </row>
    <row r="83" spans="1:34" x14ac:dyDescent="0.25">
      <c r="A83">
        <v>142</v>
      </c>
      <c r="B83">
        <v>5</v>
      </c>
      <c r="C83" t="s">
        <v>63</v>
      </c>
      <c r="D83" t="s">
        <v>84</v>
      </c>
      <c r="E83" t="s">
        <v>6</v>
      </c>
      <c r="F83" s="3">
        <v>1</v>
      </c>
      <c r="G83" s="3">
        <v>4</v>
      </c>
      <c r="H83" s="4">
        <v>2</v>
      </c>
      <c r="I83" s="4">
        <v>4</v>
      </c>
      <c r="J83" s="2">
        <v>2</v>
      </c>
      <c r="K83" s="2">
        <v>1</v>
      </c>
      <c r="L83" s="6">
        <v>0.45</v>
      </c>
      <c r="M83" s="5">
        <v>8</v>
      </c>
      <c r="N83" s="3">
        <v>0</v>
      </c>
      <c r="O83" s="4">
        <v>0</v>
      </c>
      <c r="P83" s="2">
        <v>0</v>
      </c>
      <c r="Q83" s="6">
        <v>0</v>
      </c>
      <c r="R83" s="5">
        <v>0</v>
      </c>
      <c r="S83" s="6">
        <f>50/6</f>
        <v>8.3333333333333339</v>
      </c>
      <c r="T83" s="5">
        <v>0</v>
      </c>
      <c r="U83">
        <f>VLOOKUP(C83,classOrder,2,FALSE)</f>
        <v>3</v>
      </c>
      <c r="V83" s="7">
        <f>F83+H83+J83</f>
        <v>5</v>
      </c>
      <c r="W83" s="12">
        <f>L83*(firstCardNpBonus+VLOOKUP($W$1, cardNpValue, 2, FALSE)*(1+(N83/100))*(1+(Q83/100)))*G83</f>
        <v>4.5</v>
      </c>
      <c r="X83" s="13">
        <f>L83*(firstCardNpBonus+VLOOKUP($X$1, cardNpValue, 2,FALSE)*(1+(O83/100))*(1+(Q83/100)))*I83</f>
        <v>9.9</v>
      </c>
      <c r="Y83" s="14">
        <f>L83*(firstCardNpBonus+VLOOKUP($Y$1, cardNpValue, 2,FALSE)*(1+(P83/100))*(1+(Q83/100)))*K83</f>
        <v>0.45</v>
      </c>
      <c r="Z83" s="15">
        <f>F83*W83+H83*X83+J83*Y83+S83</f>
        <v>33.533333333333331</v>
      </c>
      <c r="AA83" s="8">
        <f>Z83/maxTotalNpGain</f>
        <v>0.53242665051694604</v>
      </c>
      <c r="AB83" s="12">
        <f>((M83/100)+firstCardStarBonus+VLOOKUP($AB$1, cardStarValue, 2, FALSE)*(1+(N83/100))+(R83/100))*G83</f>
        <v>6.32</v>
      </c>
      <c r="AC83" s="13">
        <f>((M83/100)+firstCardStarBonus+VLOOKUP($AC$1, cardStarValue, 2,FALSE )*(1+(O83/100))+(R83/100))*I83</f>
        <v>1.1200000000000001</v>
      </c>
      <c r="AD83" s="14">
        <f>((M83/100)+firstCardStarBonus+VLOOKUP($AD$1, cardStarValue, 2, FALSE)*(1+(P83/100))+(R83/100))*K83</f>
        <v>0.43000000000000005</v>
      </c>
      <c r="AE83" s="11">
        <f>AB83*F83+AC83*H83+AD83*J83+T83</f>
        <v>9.42</v>
      </c>
      <c r="AF83" s="9">
        <f>AE83/maxTotalStarGen</f>
        <v>0.29377826290347731</v>
      </c>
      <c r="AG83" s="10">
        <f>(AA83+AF83)/2</f>
        <v>0.41310245671021167</v>
      </c>
      <c r="AH83" t="str">
        <f>CONCATENATE(D83,"|",B83,"|",C83,"|",E83,"|",ROUND(W83,2),"|",ROUND(X83,2),"|",ROUND(Y83,2),"|",ROUND(AB83,2),"|",ROUND(AC83,2),"|",ROUND(AD83,2),"|",ROUND(Z83,2),"|",ROUND(AE83,2),"|",ROUND(AA83*100,2),"%|",ROUND(AF83*100,2),"%|",ROUND(AG83*100,2),"%")</f>
        <v>Ishtar|5|Archer|QAABB|4.5|9.9|0.45|6.32|1.12|0.43|33.53|9.42|53.24%|29.38%|41.31%</v>
      </c>
    </row>
    <row r="84" spans="1:34" x14ac:dyDescent="0.25">
      <c r="A84">
        <v>7</v>
      </c>
      <c r="B84">
        <v>3</v>
      </c>
      <c r="C84" t="s">
        <v>4</v>
      </c>
      <c r="D84" t="s">
        <v>35</v>
      </c>
      <c r="E84" t="s">
        <v>36</v>
      </c>
      <c r="F84" s="3">
        <v>2</v>
      </c>
      <c r="G84" s="3">
        <v>2</v>
      </c>
      <c r="H84" s="4">
        <v>1</v>
      </c>
      <c r="I84" s="4">
        <v>2</v>
      </c>
      <c r="J84" s="2">
        <v>2</v>
      </c>
      <c r="K84" s="2">
        <v>1</v>
      </c>
      <c r="L84" s="6">
        <v>1.1000000000000001</v>
      </c>
      <c r="M84" s="5">
        <v>10</v>
      </c>
      <c r="N84" s="3">
        <v>8</v>
      </c>
      <c r="O84" s="4">
        <v>0</v>
      </c>
      <c r="P84" s="2">
        <v>0</v>
      </c>
      <c r="Q84" s="6">
        <v>0</v>
      </c>
      <c r="R84" s="5">
        <f>100*3/5</f>
        <v>60</v>
      </c>
      <c r="S84" s="6">
        <v>0</v>
      </c>
      <c r="T84" s="5">
        <v>0</v>
      </c>
      <c r="U84">
        <f>VLOOKUP(C84,classOrder,2,FALSE)</f>
        <v>2</v>
      </c>
      <c r="V84" s="7">
        <f>F84+H84+J84</f>
        <v>5</v>
      </c>
      <c r="W84" s="12">
        <f>L84*(firstCardNpBonus+VLOOKUP($W$1, cardNpValue, 2, FALSE)*(1+(N84/100))*(1+(Q84/100)))*G84</f>
        <v>5.7640000000000011</v>
      </c>
      <c r="X84" s="13">
        <f>L84*(firstCardNpBonus+VLOOKUP($X$1, cardNpValue, 2,FALSE)*(1+(O84/100))*(1+(Q84/100)))*I84</f>
        <v>12.100000000000001</v>
      </c>
      <c r="Y84" s="14">
        <f>L84*(firstCardNpBonus+VLOOKUP($Y$1, cardNpValue, 2,FALSE)*(1+(P84/100))*(1+(Q84/100)))*K84</f>
        <v>1.1000000000000001</v>
      </c>
      <c r="Z84" s="15">
        <f>F84*W84+H84*X84+J84*Y84+S84</f>
        <v>25.828000000000003</v>
      </c>
      <c r="AA84" s="8">
        <f>Z84/maxTotalNpGain</f>
        <v>0.41008495614965262</v>
      </c>
      <c r="AB84" s="12">
        <f>((M84/100)+firstCardStarBonus+VLOOKUP($AB$1, cardStarValue, 2, FALSE)*(1+(N84/100))+(R84/100))*G84</f>
        <v>4.6080000000000005</v>
      </c>
      <c r="AC84" s="13">
        <f>((M84/100)+firstCardStarBonus+VLOOKUP($AC$1, cardStarValue, 2,FALSE )*(1+(O84/100))+(R84/100))*I84</f>
        <v>1.8</v>
      </c>
      <c r="AD84" s="14">
        <f>((M84/100)+firstCardStarBonus+VLOOKUP($AD$1, cardStarValue, 2, FALSE)*(1+(P84/100))+(R84/100))*K84</f>
        <v>1.05</v>
      </c>
      <c r="AE84" s="11">
        <f>AB84*F84+AC84*H84+AD84*J84+T84</f>
        <v>13.116000000000001</v>
      </c>
      <c r="AF84" s="9">
        <f>AE84/maxTotalStarGen</f>
        <v>0.4090441291127398</v>
      </c>
      <c r="AG84" s="10">
        <f>(AA84+AF84)/2</f>
        <v>0.40956454263119624</v>
      </c>
      <c r="AH84" t="str">
        <f>CONCATENATE(D84,"|",B84,"|",C84,"|",E84,"|",ROUND(W84,2),"|",ROUND(X84,2),"|",ROUND(Y84,2),"|",ROUND(AB84,2),"|",ROUND(AC84,2),"|",ROUND(AD84,2),"|",ROUND(Z84,2),"|",ROUND(AE84,2),"|",ROUND(AA84*100,2),"%|",ROUND(AF84*100,2),"%|",ROUND(AG84*100,2),"%")</f>
        <v>Gaius Julius Caesar|3|Saber|QQABB|5.76|12.1|1.1|4.61|1.8|1.05|25.83|13.12|41.01%|40.9%|40.96%</v>
      </c>
    </row>
    <row r="85" spans="1:34" x14ac:dyDescent="0.25">
      <c r="A85">
        <v>27</v>
      </c>
      <c r="B85">
        <v>3</v>
      </c>
      <c r="C85" t="s">
        <v>114</v>
      </c>
      <c r="D85" t="s">
        <v>119</v>
      </c>
      <c r="E85" t="s">
        <v>67</v>
      </c>
      <c r="F85" s="3">
        <v>2</v>
      </c>
      <c r="G85" s="3">
        <v>2</v>
      </c>
      <c r="H85" s="4">
        <v>2</v>
      </c>
      <c r="I85" s="4">
        <v>2</v>
      </c>
      <c r="J85" s="2">
        <v>1</v>
      </c>
      <c r="K85" s="2">
        <v>1</v>
      </c>
      <c r="L85" s="6">
        <v>0.87</v>
      </c>
      <c r="M85" s="5">
        <v>9.1</v>
      </c>
      <c r="N85" s="3">
        <v>11</v>
      </c>
      <c r="O85" s="4">
        <v>0</v>
      </c>
      <c r="P85" s="2">
        <v>0</v>
      </c>
      <c r="Q85" s="6">
        <f>20*3/5</f>
        <v>12</v>
      </c>
      <c r="R85" s="5">
        <f>100/6</f>
        <v>16.666666666666668</v>
      </c>
      <c r="S85" s="6">
        <v>0</v>
      </c>
      <c r="T85" s="5">
        <v>0</v>
      </c>
      <c r="U85">
        <f>VLOOKUP(C85,classOrder,2,FALSE)</f>
        <v>5</v>
      </c>
      <c r="V85" s="7">
        <f>F85+H85+J85</f>
        <v>5</v>
      </c>
      <c r="W85" s="12">
        <f>L85*(firstCardNpBonus+VLOOKUP($W$1, cardNpValue, 2, FALSE)*(1+(N85/100))*(1+(Q85/100)))*G85</f>
        <v>4.9847520000000003</v>
      </c>
      <c r="X85" s="13">
        <f>L85*(firstCardNpBonus+VLOOKUP($X$1, cardNpValue, 2,FALSE)*(1+(O85/100))*(1+(Q85/100)))*I85</f>
        <v>10.509600000000001</v>
      </c>
      <c r="Y85" s="14">
        <f>L85*(firstCardNpBonus+VLOOKUP($Y$1, cardNpValue, 2,FALSE)*(1+(P85/100))*(1+(Q85/100)))*K85</f>
        <v>0.87</v>
      </c>
      <c r="Z85" s="15">
        <f>F85*W85+H85*X85+J85*Y85+S85</f>
        <v>31.858704000000003</v>
      </c>
      <c r="AA85" s="8">
        <f>Z85/maxTotalNpGain</f>
        <v>0.50583766582099898</v>
      </c>
      <c r="AB85" s="12">
        <f>((M85/100)+firstCardStarBonus+VLOOKUP($AB$1, cardStarValue, 2, FALSE)*(1+(N85/100))+(R85/100))*G85</f>
        <v>3.8013333333333343</v>
      </c>
      <c r="AC85" s="13">
        <f>((M85/100)+firstCardStarBonus+VLOOKUP($AC$1, cardStarValue, 2,FALSE )*(1+(O85/100))+(R85/100))*I85</f>
        <v>0.91533333333333344</v>
      </c>
      <c r="AD85" s="14">
        <f>((M85/100)+firstCardStarBonus+VLOOKUP($AD$1, cardStarValue, 2, FALSE)*(1+(P85/100))+(R85/100))*K85</f>
        <v>0.6076666666666668</v>
      </c>
      <c r="AE85" s="11">
        <f>AB85*F85+AC85*H85+AD85*J85+T85</f>
        <v>10.041000000000002</v>
      </c>
      <c r="AF85" s="9">
        <f>AE85/maxTotalStarGen</f>
        <v>0.3131451738655856</v>
      </c>
      <c r="AG85" s="10">
        <f>(AA85+AF85)/2</f>
        <v>0.40949141984329229</v>
      </c>
      <c r="AH85" t="str">
        <f>CONCATENATE(D85,"|",B85,"|",C85,"|",E85,"|",ROUND(W85,2),"|",ROUND(X85,2),"|",ROUND(Y85,2),"|",ROUND(AB85,2),"|",ROUND(AC85,2),"|",ROUND(AD85,2),"|",ROUND(Z85,2),"|",ROUND(AE85,2),"|",ROUND(AA85*100,2),"%|",ROUND(AF85*100,2),"%|",ROUND(AG85*100,2),"%")</f>
        <v>Ushiwakamaru|3|Rider|QQAAB|4.98|10.51|0.87|3.8|0.92|0.61|31.86|10.04|50.58%|31.31%|40.95%</v>
      </c>
    </row>
    <row r="86" spans="1:34" x14ac:dyDescent="0.25">
      <c r="A86">
        <v>146</v>
      </c>
      <c r="B86">
        <v>4</v>
      </c>
      <c r="C86" t="s">
        <v>91</v>
      </c>
      <c r="D86" t="s">
        <v>112</v>
      </c>
      <c r="E86" t="s">
        <v>67</v>
      </c>
      <c r="F86" s="3">
        <v>2</v>
      </c>
      <c r="G86" s="3">
        <v>3</v>
      </c>
      <c r="H86" s="4">
        <v>2</v>
      </c>
      <c r="I86" s="4">
        <v>4</v>
      </c>
      <c r="J86" s="2">
        <v>1</v>
      </c>
      <c r="K86" s="2">
        <v>1</v>
      </c>
      <c r="L86" s="6">
        <v>0.44</v>
      </c>
      <c r="M86" s="5">
        <v>12.2</v>
      </c>
      <c r="N86" s="3">
        <v>0</v>
      </c>
      <c r="O86" s="4">
        <v>0</v>
      </c>
      <c r="P86" s="2">
        <v>0</v>
      </c>
      <c r="Q86" s="6">
        <v>0</v>
      </c>
      <c r="R86" s="5">
        <v>0</v>
      </c>
      <c r="S86" s="6">
        <v>0</v>
      </c>
      <c r="T86" s="5">
        <v>0</v>
      </c>
      <c r="U86">
        <f>VLOOKUP(C86,classOrder,2,FALSE)</f>
        <v>4</v>
      </c>
      <c r="V86" s="7">
        <f>F86+H86+J86</f>
        <v>5</v>
      </c>
      <c r="W86" s="12">
        <f>L86*(firstCardNpBonus+VLOOKUP($W$1, cardNpValue, 2, FALSE)*(1+(N86/100))*(1+(Q86/100)))*G86</f>
        <v>3.3000000000000003</v>
      </c>
      <c r="X86" s="13">
        <f>L86*(firstCardNpBonus+VLOOKUP($X$1, cardNpValue, 2,FALSE)*(1+(O86/100))*(1+(Q86/100)))*I86</f>
        <v>9.68</v>
      </c>
      <c r="Y86" s="14">
        <f>L86*(firstCardNpBonus+VLOOKUP($Y$1, cardNpValue, 2,FALSE)*(1+(P86/100))*(1+(Q86/100)))*K86</f>
        <v>0.44</v>
      </c>
      <c r="Z86" s="15">
        <f>F86*W86+H86*X86+J86*Y86+S86</f>
        <v>26.400000000000002</v>
      </c>
      <c r="AA86" s="8">
        <f>Z86/maxTotalNpGain</f>
        <v>0.41916690577477267</v>
      </c>
      <c r="AB86" s="12">
        <f>((M86/100)+firstCardStarBonus+VLOOKUP($AB$1, cardStarValue, 2, FALSE)*(1+(N86/100))+(R86/100))*G86</f>
        <v>4.8660000000000005</v>
      </c>
      <c r="AC86" s="13">
        <f>((M86/100)+firstCardStarBonus+VLOOKUP($AC$1, cardStarValue, 2,FALSE )*(1+(O86/100))+(R86/100))*I86</f>
        <v>1.288</v>
      </c>
      <c r="AD86" s="14">
        <f>((M86/100)+firstCardStarBonus+VLOOKUP($AD$1, cardStarValue, 2, FALSE)*(1+(P86/100))+(R86/100))*K86</f>
        <v>0.47199999999999998</v>
      </c>
      <c r="AE86" s="11">
        <f>AB86*F86+AC86*H86+AD86*J86+T86</f>
        <v>12.780000000000001</v>
      </c>
      <c r="AF86" s="9">
        <f>AE86/maxTotalStarGen</f>
        <v>0.39856541400280687</v>
      </c>
      <c r="AG86" s="10">
        <f>(AA86+AF86)/2</f>
        <v>0.40886615988878977</v>
      </c>
      <c r="AH86" t="str">
        <f>CONCATENATE(D86,"|",B86,"|",C86,"|",E86,"|",ROUND(W86,2),"|",ROUND(X86,2),"|",ROUND(Y86,2),"|",ROUND(AB86,2),"|",ROUND(AC86,2),"|",ROUND(AD86,2),"|",ROUND(Z86,2),"|",ROUND(AE86,2),"|",ROUND(AA86*100,2),"%|",ROUND(AF86*100,2),"%|",ROUND(AG86*100,2),"%")</f>
        <v>Medusa (Lancer)|4|Lancer|QQAAB|3.3|9.68|0.44|4.87|1.29|0.47|26.4|12.78|41.92%|39.86%|40.89%</v>
      </c>
    </row>
    <row r="87" spans="1:34" x14ac:dyDescent="0.25">
      <c r="A87">
        <v>34</v>
      </c>
      <c r="B87">
        <v>2</v>
      </c>
      <c r="C87" t="s">
        <v>133</v>
      </c>
      <c r="D87" t="s">
        <v>137</v>
      </c>
      <c r="E87" t="s">
        <v>64</v>
      </c>
      <c r="F87" s="3">
        <v>1</v>
      </c>
      <c r="G87" s="3">
        <v>2</v>
      </c>
      <c r="H87" s="4">
        <v>3</v>
      </c>
      <c r="I87" s="4">
        <v>1</v>
      </c>
      <c r="J87" s="2">
        <v>1</v>
      </c>
      <c r="K87" s="2">
        <v>1</v>
      </c>
      <c r="L87" s="6">
        <v>1.59</v>
      </c>
      <c r="M87" s="5">
        <v>10.8</v>
      </c>
      <c r="N87" s="3">
        <v>0</v>
      </c>
      <c r="O87" s="4">
        <v>6</v>
      </c>
      <c r="P87" s="2">
        <f>40/5</f>
        <v>8</v>
      </c>
      <c r="Q87" s="6">
        <v>0</v>
      </c>
      <c r="R87" s="5">
        <f>100/6</f>
        <v>16.666666666666668</v>
      </c>
      <c r="S87" s="6">
        <f>20/6</f>
        <v>3.3333333333333335</v>
      </c>
      <c r="T87" s="5">
        <v>0</v>
      </c>
      <c r="U87">
        <f>VLOOKUP(C87,classOrder,2,FALSE)</f>
        <v>6</v>
      </c>
      <c r="V87" s="7">
        <f>F87+H87+J87</f>
        <v>5</v>
      </c>
      <c r="W87" s="12">
        <f>L87*(firstCardNpBonus+VLOOKUP($W$1, cardNpValue, 2, FALSE)*(1+(N87/100))*(1+(Q87/100)))*G87</f>
        <v>7.95</v>
      </c>
      <c r="X87" s="13">
        <f>L87*(firstCardNpBonus+VLOOKUP($X$1, cardNpValue, 2,FALSE)*(1+(O87/100))*(1+(Q87/100)))*I87</f>
        <v>9.1743000000000006</v>
      </c>
      <c r="Y87" s="14">
        <f>L87*(firstCardNpBonus+VLOOKUP($Y$1, cardNpValue, 2,FALSE)*(1+(P87/100))*(1+(Q87/100)))*K87</f>
        <v>1.59</v>
      </c>
      <c r="Z87" s="15">
        <f>F87*W87+H87*X87+J87*Y87+S87</f>
        <v>40.396233333333342</v>
      </c>
      <c r="AA87" s="8">
        <f>Z87/maxTotalNpGain</f>
        <v>0.64139258073064642</v>
      </c>
      <c r="AB87" s="12">
        <f>((M87/100)+firstCardStarBonus+VLOOKUP($AB$1, cardStarValue, 2, FALSE)*(1+(N87/100))+(R87/100))*G87</f>
        <v>3.5493333333333337</v>
      </c>
      <c r="AC87" s="13">
        <f>((M87/100)+firstCardStarBonus+VLOOKUP($AC$1, cardStarValue, 2,FALSE )*(1+(O87/100))+(R87/100))*I87</f>
        <v>0.47466666666666674</v>
      </c>
      <c r="AD87" s="14">
        <f>((M87/100)+firstCardStarBonus+VLOOKUP($AD$1, cardStarValue, 2, FALSE)*(1+(P87/100))+(R87/100))*K87</f>
        <v>0.63666666666666671</v>
      </c>
      <c r="AE87" s="11">
        <f>AB87*F87+AC87*H87+AD87*J87+T87</f>
        <v>5.61</v>
      </c>
      <c r="AF87" s="9">
        <f>AE87/maxTotalStarGen</f>
        <v>0.17495711835334479</v>
      </c>
      <c r="AG87" s="10">
        <f>(AA87+AF87)/2</f>
        <v>0.40817484954199562</v>
      </c>
      <c r="AH87" t="str">
        <f>CONCATENATE(D87,"|",B87,"|",C87,"|",E87,"|",ROUND(W87,2),"|",ROUND(X87,2),"|",ROUND(Y87,2),"|",ROUND(AB87,2),"|",ROUND(AC87,2),"|",ROUND(AD87,2),"|",ROUND(Z87,2),"|",ROUND(AE87,2),"|",ROUND(AA87*100,2),"%|",ROUND(AF87*100,2),"%|",ROUND(AG87*100,2),"%")</f>
        <v>William Shakespeare|2|Caster|QAAAB|7.95|9.17|1.59|3.55|0.47|0.64|40.4|5.61|64.14%|17.5%|40.82%</v>
      </c>
    </row>
    <row r="88" spans="1:34" x14ac:dyDescent="0.25">
      <c r="A88">
        <v>95</v>
      </c>
      <c r="B88">
        <v>3</v>
      </c>
      <c r="C88" t="s">
        <v>63</v>
      </c>
      <c r="D88" t="s">
        <v>76</v>
      </c>
      <c r="E88" t="s">
        <v>6</v>
      </c>
      <c r="F88" s="3">
        <v>1</v>
      </c>
      <c r="G88" s="3">
        <v>3</v>
      </c>
      <c r="H88" s="4">
        <v>2</v>
      </c>
      <c r="I88" s="4">
        <v>3</v>
      </c>
      <c r="J88" s="2">
        <v>2</v>
      </c>
      <c r="K88" s="2">
        <v>3</v>
      </c>
      <c r="L88" s="6">
        <v>0.62</v>
      </c>
      <c r="M88" s="5">
        <v>7.9</v>
      </c>
      <c r="N88" s="3">
        <v>0</v>
      </c>
      <c r="O88" s="4">
        <v>0</v>
      </c>
      <c r="P88" s="2">
        <v>0</v>
      </c>
      <c r="Q88" s="6">
        <f>50*3/6</f>
        <v>25</v>
      </c>
      <c r="R88" s="5">
        <v>0</v>
      </c>
      <c r="S88" s="6">
        <v>0</v>
      </c>
      <c r="T88" s="5">
        <v>0</v>
      </c>
      <c r="U88">
        <f>VLOOKUP(C88,classOrder,2,FALSE)</f>
        <v>3</v>
      </c>
      <c r="V88" s="7">
        <f>F88+H88+J88</f>
        <v>5</v>
      </c>
      <c r="W88" s="12">
        <f>L88*(firstCardNpBonus+VLOOKUP($W$1, cardNpValue, 2, FALSE)*(1+(N88/100))*(1+(Q88/100)))*G88</f>
        <v>5.3475000000000001</v>
      </c>
      <c r="X88" s="13">
        <f>L88*(firstCardNpBonus+VLOOKUP($X$1, cardNpValue, 2,FALSE)*(1+(O88/100))*(1+(Q88/100)))*I88</f>
        <v>12.3225</v>
      </c>
      <c r="Y88" s="14">
        <f>L88*(firstCardNpBonus+VLOOKUP($Y$1, cardNpValue, 2,FALSE)*(1+(P88/100))*(1+(Q88/100)))*K88</f>
        <v>1.8599999999999999</v>
      </c>
      <c r="Z88" s="15">
        <f>F88*W88+H88*X88+J88*Y88+S88</f>
        <v>33.712499999999999</v>
      </c>
      <c r="AA88" s="8">
        <f>Z88/maxTotalNpGain</f>
        <v>0.53527137541409175</v>
      </c>
      <c r="AB88" s="12">
        <f>((M88/100)+firstCardStarBonus+VLOOKUP($AB$1, cardStarValue, 2, FALSE)*(1+(N88/100))+(R88/100))*G88</f>
        <v>4.7370000000000001</v>
      </c>
      <c r="AC88" s="13">
        <f>((M88/100)+firstCardStarBonus+VLOOKUP($AC$1, cardStarValue, 2,FALSE )*(1+(O88/100))+(R88/100))*I88</f>
        <v>0.83700000000000008</v>
      </c>
      <c r="AD88" s="14">
        <f>((M88/100)+firstCardStarBonus+VLOOKUP($AD$1, cardStarValue, 2, FALSE)*(1+(P88/100))+(R88/100))*K88</f>
        <v>1.2870000000000001</v>
      </c>
      <c r="AE88" s="11">
        <f>AB88*F88+AC88*H88+AD88*J88+T88</f>
        <v>8.9850000000000012</v>
      </c>
      <c r="AF88" s="9">
        <f>AE88/maxTotalStarGen</f>
        <v>0.28021206923436776</v>
      </c>
      <c r="AG88" s="10">
        <f>(AA88+AF88)/2</f>
        <v>0.40774172232422978</v>
      </c>
      <c r="AH88" t="str">
        <f>CONCATENATE(D88,"|",B88,"|",C88,"|",E88,"|",ROUND(W88,2),"|",ROUND(X88,2),"|",ROUND(Y88,2),"|",ROUND(AB88,2),"|",ROUND(AC88,2),"|",ROUND(AD88,2),"|",ROUND(Z88,2),"|",ROUND(AE88,2),"|",ROUND(AA88*100,2),"%|",ROUND(AF88*100,2),"%|",ROUND(AG88*100,2),"%")</f>
        <v>Kid Gil|3|Archer|QAABB|5.35|12.32|1.86|4.74|0.84|1.29|33.71|8.99|53.53%|28.02%|40.77%</v>
      </c>
    </row>
    <row r="89" spans="1:34" x14ac:dyDescent="0.25">
      <c r="A89">
        <v>160</v>
      </c>
      <c r="B89">
        <v>5</v>
      </c>
      <c r="C89" t="s">
        <v>4</v>
      </c>
      <c r="D89" t="s">
        <v>60</v>
      </c>
      <c r="E89" t="s">
        <v>6</v>
      </c>
      <c r="F89" s="3">
        <v>1</v>
      </c>
      <c r="G89" s="3">
        <v>3</v>
      </c>
      <c r="H89" s="4">
        <v>2</v>
      </c>
      <c r="I89" s="4">
        <v>2</v>
      </c>
      <c r="J89" s="2">
        <v>2</v>
      </c>
      <c r="K89" s="2">
        <v>1</v>
      </c>
      <c r="L89" s="6">
        <v>0.84</v>
      </c>
      <c r="M89" s="5">
        <v>10</v>
      </c>
      <c r="N89" s="3">
        <v>8</v>
      </c>
      <c r="O89" s="4">
        <v>0</v>
      </c>
      <c r="P89" s="2">
        <f>50/5</f>
        <v>10</v>
      </c>
      <c r="Q89" s="6">
        <v>0</v>
      </c>
      <c r="R89" s="5">
        <v>0</v>
      </c>
      <c r="S89" s="6">
        <f>20/5</f>
        <v>4</v>
      </c>
      <c r="T89" s="5">
        <f>15/5</f>
        <v>3</v>
      </c>
      <c r="U89">
        <f>VLOOKUP(C89,classOrder,2,FALSE)</f>
        <v>2</v>
      </c>
      <c r="V89" s="7">
        <f>F89+H89+J89</f>
        <v>5</v>
      </c>
      <c r="W89" s="12">
        <f>L89*(firstCardNpBonus+VLOOKUP($W$1, cardNpValue, 2, FALSE)*(1+(N89/100))*(1+(Q89/100)))*G89</f>
        <v>6.6024000000000003</v>
      </c>
      <c r="X89" s="13">
        <f>L89*(firstCardNpBonus+VLOOKUP($X$1, cardNpValue, 2,FALSE)*(1+(O89/100))*(1+(Q89/100)))*I89</f>
        <v>9.24</v>
      </c>
      <c r="Y89" s="14">
        <f>L89*(firstCardNpBonus+VLOOKUP($Y$1, cardNpValue, 2,FALSE)*(1+(P89/100))*(1+(Q89/100)))*K89</f>
        <v>0.84</v>
      </c>
      <c r="Z89" s="15">
        <f>F89*W89+H89*X89+J89*Y89+S89</f>
        <v>30.7624</v>
      </c>
      <c r="AA89" s="8">
        <f>Z89/maxTotalNpGain</f>
        <v>0.48843106144719189</v>
      </c>
      <c r="AB89" s="12">
        <f>((M89/100)+firstCardStarBonus+VLOOKUP($AB$1, cardStarValue, 2, FALSE)*(1+(N89/100))+(R89/100))*G89</f>
        <v>5.1120000000000001</v>
      </c>
      <c r="AC89" s="13">
        <f>((M89/100)+firstCardStarBonus+VLOOKUP($AC$1, cardStarValue, 2,FALSE )*(1+(O89/100))+(R89/100))*I89</f>
        <v>0.60000000000000009</v>
      </c>
      <c r="AD89" s="14">
        <f>((M89/100)+firstCardStarBonus+VLOOKUP($AD$1, cardStarValue, 2, FALSE)*(1+(P89/100))+(R89/100))*K89</f>
        <v>0.46500000000000008</v>
      </c>
      <c r="AE89" s="11">
        <f>AB89*F89+AC89*H89+AD89*J89+T89</f>
        <v>10.242000000000001</v>
      </c>
      <c r="AF89" s="9">
        <f>AE89/maxTotalStarGen</f>
        <v>0.31941369094027761</v>
      </c>
      <c r="AG89" s="10">
        <f>(AA89+AF89)/2</f>
        <v>0.40392237619373472</v>
      </c>
      <c r="AH89" t="str">
        <f>CONCATENATE(D89,"|",B89,"|",C89,"|",E89,"|",ROUND(W89,2),"|",ROUND(X89,2),"|",ROUND(Y89,2),"|",ROUND(AB89,2),"|",ROUND(AC89,2),"|",ROUND(AD89,2),"|",ROUND(Z89,2),"|",ROUND(AE89,2),"|",ROUND(AA89*100,2),"%|",ROUND(AF89*100,2),"%|",ROUND(AG89*100,2),"%")</f>
        <v>Arthur Pendragon (Prototype)|5|Saber|QAABB|6.6|9.24|0.84|5.11|0.6|0.47|30.76|10.24|48.84%|31.94%|40.39%</v>
      </c>
    </row>
    <row r="90" spans="1:34" x14ac:dyDescent="0.25">
      <c r="A90">
        <v>102</v>
      </c>
      <c r="B90">
        <v>4</v>
      </c>
      <c r="C90" t="s">
        <v>91</v>
      </c>
      <c r="D90" t="s">
        <v>104</v>
      </c>
      <c r="E90" t="s">
        <v>67</v>
      </c>
      <c r="F90" s="3">
        <v>2</v>
      </c>
      <c r="G90" s="3">
        <v>3</v>
      </c>
      <c r="H90" s="4">
        <v>2</v>
      </c>
      <c r="I90" s="4">
        <v>3</v>
      </c>
      <c r="J90" s="2">
        <v>1</v>
      </c>
      <c r="K90" s="2">
        <v>1</v>
      </c>
      <c r="L90" s="6">
        <v>0.52</v>
      </c>
      <c r="M90" s="5">
        <v>12.2</v>
      </c>
      <c r="N90" s="3">
        <v>0</v>
      </c>
      <c r="O90" s="4">
        <f>50/6</f>
        <v>8.3333333333333339</v>
      </c>
      <c r="P90" s="2">
        <v>0</v>
      </c>
      <c r="Q90" s="6">
        <v>0</v>
      </c>
      <c r="R90" s="5">
        <v>0</v>
      </c>
      <c r="S90" s="6">
        <v>0</v>
      </c>
      <c r="T90" s="5">
        <v>0</v>
      </c>
      <c r="U90">
        <f>VLOOKUP(C90,classOrder,2,FALSE)</f>
        <v>4</v>
      </c>
      <c r="V90" s="7">
        <f>F90+H90+J90</f>
        <v>5</v>
      </c>
      <c r="W90" s="12">
        <f>L90*(firstCardNpBonus+VLOOKUP($W$1, cardNpValue, 2, FALSE)*(1+(N90/100))*(1+(Q90/100)))*G90</f>
        <v>3.9000000000000004</v>
      </c>
      <c r="X90" s="13">
        <f>L90*(firstCardNpBonus+VLOOKUP($X$1, cardNpValue, 2,FALSE)*(1+(O90/100))*(1+(Q90/100)))*I90</f>
        <v>9.1650000000000009</v>
      </c>
      <c r="Y90" s="14">
        <f>L90*(firstCardNpBonus+VLOOKUP($Y$1, cardNpValue, 2,FALSE)*(1+(P90/100))*(1+(Q90/100)))*K90</f>
        <v>0.52</v>
      </c>
      <c r="Z90" s="15">
        <f>F90*W90+H90*X90+J90*Y90+S90</f>
        <v>26.650000000000002</v>
      </c>
      <c r="AA90" s="8">
        <f>Z90/maxTotalNpGain</f>
        <v>0.42313628935218528</v>
      </c>
      <c r="AB90" s="12">
        <f>((M90/100)+firstCardStarBonus+VLOOKUP($AB$1, cardStarValue, 2, FALSE)*(1+(N90/100))+(R90/100))*G90</f>
        <v>4.8660000000000005</v>
      </c>
      <c r="AC90" s="13">
        <f>((M90/100)+firstCardStarBonus+VLOOKUP($AC$1, cardStarValue, 2,FALSE )*(1+(O90/100))+(R90/100))*I90</f>
        <v>0.96599999999999997</v>
      </c>
      <c r="AD90" s="14">
        <f>((M90/100)+firstCardStarBonus+VLOOKUP($AD$1, cardStarValue, 2, FALSE)*(1+(P90/100))+(R90/100))*K90</f>
        <v>0.47199999999999998</v>
      </c>
      <c r="AE90" s="11">
        <f>AB90*F90+AC90*H90+AD90*J90+T90</f>
        <v>12.136000000000001</v>
      </c>
      <c r="AF90" s="9">
        <f>AE90/maxTotalStarGen</f>
        <v>0.37848121004210206</v>
      </c>
      <c r="AG90" s="10">
        <f>(AA90+AF90)/2</f>
        <v>0.40080874969714364</v>
      </c>
      <c r="AH90" t="str">
        <f>CONCATENATE(D90,"|",B90,"|",C90,"|",E90,"|",ROUND(W90,2),"|",ROUND(X90,2),"|",ROUND(Y90,2),"|",ROUND(AB90,2),"|",ROUND(AC90,2),"|",ROUND(AD90,2),"|",ROUND(Z90,2),"|",ROUND(AE90,2),"|",ROUND(AA90*100,2),"%|",ROUND(AF90*100,2),"%|",ROUND(AG90*100,2),"%")</f>
        <v>Li Shuwen (Lancer)|4|Lancer|QQAAB|3.9|9.17|0.52|4.87|0.97|0.47|26.65|12.14|42.31%|37.85%|40.08%</v>
      </c>
    </row>
    <row r="91" spans="1:34" x14ac:dyDescent="0.25">
      <c r="A91">
        <v>23</v>
      </c>
      <c r="B91">
        <v>3</v>
      </c>
      <c r="C91" t="s">
        <v>114</v>
      </c>
      <c r="D91" t="s">
        <v>115</v>
      </c>
      <c r="E91" t="s">
        <v>67</v>
      </c>
      <c r="F91" s="3">
        <v>2</v>
      </c>
      <c r="G91" s="3">
        <v>2</v>
      </c>
      <c r="H91" s="4">
        <v>2</v>
      </c>
      <c r="I91" s="4">
        <v>3</v>
      </c>
      <c r="J91" s="2">
        <v>1</v>
      </c>
      <c r="K91" s="2">
        <v>1</v>
      </c>
      <c r="L91" s="6">
        <v>0.57999999999999996</v>
      </c>
      <c r="M91" s="5">
        <v>9</v>
      </c>
      <c r="N91" s="3">
        <v>11</v>
      </c>
      <c r="O91" s="4">
        <v>0</v>
      </c>
      <c r="P91" s="2">
        <v>0</v>
      </c>
      <c r="Q91" s="6">
        <f>30*3/6</f>
        <v>15</v>
      </c>
      <c r="R91" s="5">
        <v>0</v>
      </c>
      <c r="S91" s="6">
        <f>20/6</f>
        <v>3.3333333333333335</v>
      </c>
      <c r="T91" s="5">
        <v>0</v>
      </c>
      <c r="U91">
        <f>VLOOKUP(C91,classOrder,2,FALSE)</f>
        <v>5</v>
      </c>
      <c r="V91" s="7">
        <f>F91+H91+J91</f>
        <v>5</v>
      </c>
      <c r="W91" s="12">
        <f>L91*(firstCardNpBonus+VLOOKUP($W$1, cardNpValue, 2, FALSE)*(1+(N91/100))*(1+(Q91/100)))*G91</f>
        <v>3.3811099999999996</v>
      </c>
      <c r="X91" s="13">
        <f>L91*(firstCardNpBonus+VLOOKUP($X$1, cardNpValue, 2,FALSE)*(1+(O91/100))*(1+(Q91/100)))*I91</f>
        <v>10.744499999999999</v>
      </c>
      <c r="Y91" s="14">
        <f>L91*(firstCardNpBonus+VLOOKUP($Y$1, cardNpValue, 2,FALSE)*(1+(P91/100))*(1+(Q91/100)))*K91</f>
        <v>0.57999999999999996</v>
      </c>
      <c r="Z91" s="15">
        <f>F91*W91+H91*X91+J91*Y91+S91</f>
        <v>32.16455333333333</v>
      </c>
      <c r="AA91" s="8">
        <f>Z91/maxTotalNpGain</f>
        <v>0.51069379910458257</v>
      </c>
      <c r="AB91" s="12">
        <f>((M91/100)+firstCardStarBonus+VLOOKUP($AB$1, cardStarValue, 2, FALSE)*(1+(N91/100))+(R91/100))*G91</f>
        <v>3.4660000000000006</v>
      </c>
      <c r="AC91" s="13">
        <f>((M91/100)+firstCardStarBonus+VLOOKUP($AC$1, cardStarValue, 2,FALSE )*(1+(O91/100))+(R91/100))*I91</f>
        <v>0.87000000000000011</v>
      </c>
      <c r="AD91" s="14">
        <f>((M91/100)+firstCardStarBonus+VLOOKUP($AD$1, cardStarValue, 2, FALSE)*(1+(P91/100))+(R91/100))*K91</f>
        <v>0.44000000000000006</v>
      </c>
      <c r="AE91" s="11">
        <f>AB91*F91+AC91*H91+AD91*J91+T91</f>
        <v>9.1120000000000001</v>
      </c>
      <c r="AF91" s="9">
        <f>AE91/maxTotalStarGen</f>
        <v>0.28417277405270547</v>
      </c>
      <c r="AG91" s="10">
        <f>(AA91+AF91)/2</f>
        <v>0.39743328657864402</v>
      </c>
      <c r="AH91" t="str">
        <f>CONCATENATE(D91,"|",B91,"|",C91,"|",E91,"|",ROUND(W91,2),"|",ROUND(X91,2),"|",ROUND(Y91,2),"|",ROUND(AB91,2),"|",ROUND(AC91,2),"|",ROUND(AD91,2),"|",ROUND(Z91,2),"|",ROUND(AE91,2),"|",ROUND(AA91*100,2),"%|",ROUND(AF91*100,2),"%|",ROUND(AG91*100,2),"%")</f>
        <v>Medusa|3|Rider|QQAAB|3.38|10.74|0.58|3.47|0.87|0.44|32.16|9.11|51.07%|28.42%|39.74%</v>
      </c>
    </row>
    <row r="92" spans="1:34" x14ac:dyDescent="0.25">
      <c r="A92">
        <v>156</v>
      </c>
      <c r="B92">
        <v>5</v>
      </c>
      <c r="C92" t="s">
        <v>63</v>
      </c>
      <c r="D92" t="s">
        <v>85</v>
      </c>
      <c r="E92" t="s">
        <v>64</v>
      </c>
      <c r="F92" s="3">
        <v>1</v>
      </c>
      <c r="G92" s="3">
        <v>3</v>
      </c>
      <c r="H92" s="4">
        <v>3</v>
      </c>
      <c r="I92" s="4">
        <v>4</v>
      </c>
      <c r="J92" s="2">
        <v>1</v>
      </c>
      <c r="K92" s="2">
        <v>5</v>
      </c>
      <c r="L92" s="6">
        <v>0.38</v>
      </c>
      <c r="M92" s="5">
        <v>8</v>
      </c>
      <c r="N92" s="3">
        <v>0</v>
      </c>
      <c r="O92" s="4">
        <v>0</v>
      </c>
      <c r="P92" s="2">
        <v>0</v>
      </c>
      <c r="Q92" s="6">
        <v>0</v>
      </c>
      <c r="R92" s="5">
        <v>0</v>
      </c>
      <c r="S92" s="6">
        <v>0</v>
      </c>
      <c r="T92" s="5">
        <v>0</v>
      </c>
      <c r="U92">
        <f>VLOOKUP(C92,classOrder,2,FALSE)</f>
        <v>3</v>
      </c>
      <c r="V92" s="7">
        <f>F92+H92+J92</f>
        <v>5</v>
      </c>
      <c r="W92" s="12">
        <f>L92*(firstCardNpBonus+VLOOKUP($W$1, cardNpValue, 2, FALSE)*(1+(N92/100))*(1+(Q92/100)))*G92</f>
        <v>2.8499999999999996</v>
      </c>
      <c r="X92" s="13">
        <f>L92*(firstCardNpBonus+VLOOKUP($X$1, cardNpValue, 2,FALSE)*(1+(O92/100))*(1+(Q92/100)))*I92</f>
        <v>8.36</v>
      </c>
      <c r="Y92" s="14">
        <f>L92*(firstCardNpBonus+VLOOKUP($Y$1, cardNpValue, 2,FALSE)*(1+(P92/100))*(1+(Q92/100)))*K92</f>
        <v>1.9</v>
      </c>
      <c r="Z92" s="15">
        <f>F92*W92+H92*X92+J92*Y92+S92</f>
        <v>29.83</v>
      </c>
      <c r="AA92" s="8">
        <f>Z92/maxTotalNpGain</f>
        <v>0.47362684845687375</v>
      </c>
      <c r="AB92" s="12">
        <f>((M92/100)+firstCardStarBonus+VLOOKUP($AB$1, cardStarValue, 2, FALSE)*(1+(N92/100))+(R92/100))*G92</f>
        <v>4.74</v>
      </c>
      <c r="AC92" s="13">
        <f>((M92/100)+firstCardStarBonus+VLOOKUP($AC$1, cardStarValue, 2,FALSE )*(1+(O92/100))+(R92/100))*I92</f>
        <v>1.1200000000000001</v>
      </c>
      <c r="AD92" s="14">
        <f>((M92/100)+firstCardStarBonus+VLOOKUP($AD$1, cardStarValue, 2, FALSE)*(1+(P92/100))+(R92/100))*K92</f>
        <v>2.1500000000000004</v>
      </c>
      <c r="AE92" s="11">
        <f>AB92*F92+AC92*H92+AD92*J92+T92</f>
        <v>10.250000000000002</v>
      </c>
      <c r="AF92" s="9">
        <f>AE92/maxTotalStarGen</f>
        <v>0.31966318415718081</v>
      </c>
      <c r="AG92" s="10">
        <f>(AA92+AF92)/2</f>
        <v>0.39664501630702731</v>
      </c>
      <c r="AH92" t="str">
        <f>CONCATENATE(D92,"|",B92,"|",C92,"|",E92,"|",ROUND(W92,2),"|",ROUND(X92,2),"|",ROUND(Y92,2),"|",ROUND(AB92,2),"|",ROUND(AC92,2),"|",ROUND(AD92,2),"|",ROUND(Z92,2),"|",ROUND(AE92,2),"|",ROUND(AA92*100,2),"%|",ROUND(AF92*100,2),"%|",ROUND(AG92*100,2),"%")</f>
        <v>James Moriarty|5|Archer|QAAAB|2.85|8.36|1.9|4.74|1.12|2.15|29.83|10.25|47.36%|31.97%|39.66%</v>
      </c>
    </row>
    <row r="93" spans="1:34" x14ac:dyDescent="0.25">
      <c r="A93">
        <v>71</v>
      </c>
      <c r="B93">
        <v>3</v>
      </c>
      <c r="C93" t="s">
        <v>91</v>
      </c>
      <c r="D93" t="s">
        <v>100</v>
      </c>
      <c r="E93" t="s">
        <v>67</v>
      </c>
      <c r="F93" s="3">
        <v>2</v>
      </c>
      <c r="G93" s="3">
        <v>2</v>
      </c>
      <c r="H93" s="4">
        <v>2</v>
      </c>
      <c r="I93" s="4">
        <v>2</v>
      </c>
      <c r="J93" s="2">
        <v>1</v>
      </c>
      <c r="K93" s="2">
        <v>2</v>
      </c>
      <c r="L93" s="6">
        <v>0.79</v>
      </c>
      <c r="M93" s="5">
        <v>12.3</v>
      </c>
      <c r="N93" s="3">
        <v>0</v>
      </c>
      <c r="O93" s="4">
        <v>0</v>
      </c>
      <c r="P93" s="2">
        <v>0</v>
      </c>
      <c r="Q93" s="6">
        <v>0</v>
      </c>
      <c r="R93" s="5">
        <f>50*3/5</f>
        <v>30</v>
      </c>
      <c r="S93" s="6">
        <v>0</v>
      </c>
      <c r="T93" s="5">
        <v>0</v>
      </c>
      <c r="U93">
        <f>VLOOKUP(C93,classOrder,2,FALSE)</f>
        <v>4</v>
      </c>
      <c r="V93" s="7">
        <f>F93+H93+J93</f>
        <v>5</v>
      </c>
      <c r="W93" s="12">
        <f>L93*(firstCardNpBonus+VLOOKUP($W$1, cardNpValue, 2, FALSE)*(1+(N93/100))*(1+(Q93/100)))*G93</f>
        <v>3.95</v>
      </c>
      <c r="X93" s="13">
        <f>L93*(firstCardNpBonus+VLOOKUP($X$1, cardNpValue, 2,FALSE)*(1+(O93/100))*(1+(Q93/100)))*I93</f>
        <v>8.6900000000000013</v>
      </c>
      <c r="Y93" s="14">
        <f>L93*(firstCardNpBonus+VLOOKUP($Y$1, cardNpValue, 2,FALSE)*(1+(P93/100))*(1+(Q93/100)))*K93</f>
        <v>1.58</v>
      </c>
      <c r="Z93" s="15">
        <f>F93*W93+H93*X93+J93*Y93+S93</f>
        <v>26.86</v>
      </c>
      <c r="AA93" s="8">
        <f>Z93/maxTotalNpGain</f>
        <v>0.42647057155721185</v>
      </c>
      <c r="AB93" s="12">
        <f>((M93/100)+firstCardStarBonus+VLOOKUP($AB$1, cardStarValue, 2, FALSE)*(1+(N93/100))+(R93/100))*G93</f>
        <v>3.8460000000000001</v>
      </c>
      <c r="AC93" s="13">
        <f>((M93/100)+firstCardStarBonus+VLOOKUP($AC$1, cardStarValue, 2,FALSE )*(1+(O93/100))+(R93/100))*I93</f>
        <v>1.246</v>
      </c>
      <c r="AD93" s="14">
        <f>((M93/100)+firstCardStarBonus+VLOOKUP($AD$1, cardStarValue, 2, FALSE)*(1+(P93/100))+(R93/100))*K93</f>
        <v>1.5459999999999998</v>
      </c>
      <c r="AE93" s="11">
        <f>AB93*F93+AC93*H93+AD93*J93+T93</f>
        <v>11.73</v>
      </c>
      <c r="AF93" s="9">
        <f>AE93/maxTotalStarGen</f>
        <v>0.36581942928426636</v>
      </c>
      <c r="AG93" s="10">
        <f>(AA93+AF93)/2</f>
        <v>0.39614500042073908</v>
      </c>
      <c r="AH93" t="str">
        <f>CONCATENATE(D93,"|",B93,"|",C93,"|",E93,"|",ROUND(W93,2),"|",ROUND(X93,2),"|",ROUND(Y93,2),"|",ROUND(AB93,2),"|",ROUND(AC93,2),"|",ROUND(AD93,2),"|",ROUND(Z93,2),"|",ROUND(AE93,2),"|",ROUND(AA93*100,2),"%|",ROUND(AF93*100,2),"%|",ROUND(AG93*100,2),"%")</f>
        <v>Diarmuid Ua Duibhne|3|Lancer|QQAAB|3.95|8.69|1.58|3.85|1.25|1.55|26.86|11.73|42.65%|36.58%|39.61%</v>
      </c>
    </row>
    <row r="94" spans="1:34" x14ac:dyDescent="0.25">
      <c r="A94">
        <v>59</v>
      </c>
      <c r="B94">
        <v>5</v>
      </c>
      <c r="C94" t="s">
        <v>209</v>
      </c>
      <c r="D94" t="s">
        <v>210</v>
      </c>
      <c r="E94" t="s">
        <v>64</v>
      </c>
      <c r="F94" s="3">
        <v>1</v>
      </c>
      <c r="G94" s="3">
        <v>2</v>
      </c>
      <c r="H94" s="4">
        <v>3</v>
      </c>
      <c r="I94" s="4">
        <v>2</v>
      </c>
      <c r="J94" s="2">
        <v>1</v>
      </c>
      <c r="K94" s="2">
        <v>1</v>
      </c>
      <c r="L94" s="6">
        <v>0.76</v>
      </c>
      <c r="M94" s="5">
        <v>10.1</v>
      </c>
      <c r="N94" s="3">
        <v>0</v>
      </c>
      <c r="O94" s="4">
        <v>0</v>
      </c>
      <c r="P94" s="2">
        <v>0</v>
      </c>
      <c r="Q94" s="6">
        <v>0</v>
      </c>
      <c r="R94" s="5">
        <v>0</v>
      </c>
      <c r="S94" s="6">
        <v>0</v>
      </c>
      <c r="T94" s="5">
        <f>9*3/6</f>
        <v>4.5</v>
      </c>
      <c r="U94">
        <f>VLOOKUP(C94,classOrder,2,FALSE)</f>
        <v>9</v>
      </c>
      <c r="V94" s="7">
        <f>F94+H94+J94</f>
        <v>5</v>
      </c>
      <c r="W94" s="12">
        <f>L94*(firstCardNpBonus+VLOOKUP($W$1, cardNpValue, 2, FALSE)*(1+(N94/100))*(1+(Q94/100)))*G94</f>
        <v>3.8</v>
      </c>
      <c r="X94" s="13">
        <f>L94*(firstCardNpBonus+VLOOKUP($X$1, cardNpValue, 2,FALSE)*(1+(O94/100))*(1+(Q94/100)))*I94</f>
        <v>8.36</v>
      </c>
      <c r="Y94" s="14">
        <f>L94*(firstCardNpBonus+VLOOKUP($Y$1, cardNpValue, 2,FALSE)*(1+(P94/100))*(1+(Q94/100)))*K94</f>
        <v>0.76</v>
      </c>
      <c r="Z94" s="15">
        <f>F94*W94+H94*X94+J94*Y94+S94</f>
        <v>29.64</v>
      </c>
      <c r="AA94" s="8">
        <f>Z94/maxTotalNpGain</f>
        <v>0.47061011693804017</v>
      </c>
      <c r="AB94" s="12">
        <f>((M94/100)+firstCardStarBonus+VLOOKUP($AB$1, cardStarValue, 2, FALSE)*(1+(N94/100))+(R94/100))*G94</f>
        <v>3.202</v>
      </c>
      <c r="AC94" s="13">
        <f>((M94/100)+firstCardStarBonus+VLOOKUP($AC$1, cardStarValue, 2,FALSE )*(1+(O94/100))+(R94/100))*I94</f>
        <v>0.60199999999999998</v>
      </c>
      <c r="AD94" s="14">
        <f>((M94/100)+firstCardStarBonus+VLOOKUP($AD$1, cardStarValue, 2, FALSE)*(1+(P94/100))+(R94/100))*K94</f>
        <v>0.45099999999999996</v>
      </c>
      <c r="AE94" s="11">
        <f>AB94*F94+AC94*H94+AD94*J94+T94</f>
        <v>9.9589999999999996</v>
      </c>
      <c r="AF94" s="9">
        <f>AE94/maxTotalStarGen</f>
        <v>0.3105878683923281</v>
      </c>
      <c r="AG94" s="10">
        <f>(AA94+AF94)/2</f>
        <v>0.39059899266518416</v>
      </c>
      <c r="AH94" t="str">
        <f>CONCATENATE(D94,"|",B94,"|",C94,"|",E94,"|",ROUND(W94,2),"|",ROUND(X94,2),"|",ROUND(Y94,2),"|",ROUND(AB94,2),"|",ROUND(AC94,2),"|",ROUND(AD94,2),"|",ROUND(Z94,2),"|",ROUND(AE94,2),"|",ROUND(AA94*100,2),"%|",ROUND(AF94*100,2),"%|",ROUND(AG94*100,2),"%")</f>
        <v>Jeanne d'Arc|5|Ruler|QAAAB|3.8|8.36|0.76|3.2|0.6|0.45|29.64|9.96|47.06%|31.06%|39.06%</v>
      </c>
    </row>
    <row r="95" spans="1:34" x14ac:dyDescent="0.25">
      <c r="A95">
        <v>21</v>
      </c>
      <c r="B95">
        <v>2</v>
      </c>
      <c r="C95" t="s">
        <v>91</v>
      </c>
      <c r="D95" t="s">
        <v>96</v>
      </c>
      <c r="E95" t="s">
        <v>36</v>
      </c>
      <c r="F95" s="3">
        <v>2</v>
      </c>
      <c r="G95" s="3">
        <v>2</v>
      </c>
      <c r="H95" s="4">
        <v>1</v>
      </c>
      <c r="I95" s="4">
        <v>2</v>
      </c>
      <c r="J95" s="2">
        <v>2</v>
      </c>
      <c r="K95" s="2">
        <v>1</v>
      </c>
      <c r="L95" s="6">
        <v>1.07</v>
      </c>
      <c r="M95" s="5">
        <v>11.8</v>
      </c>
      <c r="N95" s="3">
        <v>0</v>
      </c>
      <c r="O95" s="4">
        <v>0</v>
      </c>
      <c r="P95" s="2">
        <f>25*3/5</f>
        <v>15</v>
      </c>
      <c r="Q95" s="6">
        <f>100*3/6</f>
        <v>50</v>
      </c>
      <c r="R95" s="5">
        <v>0</v>
      </c>
      <c r="S95" s="6">
        <v>0</v>
      </c>
      <c r="T95" s="5">
        <v>0</v>
      </c>
      <c r="U95">
        <f>VLOOKUP(C95,classOrder,2,FALSE)</f>
        <v>4</v>
      </c>
      <c r="V95" s="7">
        <f>F95+H95+J95</f>
        <v>5</v>
      </c>
      <c r="W95" s="12">
        <f>L95*(firstCardNpBonus+VLOOKUP($W$1, cardNpValue, 2, FALSE)*(1+(N95/100))*(1+(Q95/100)))*G95</f>
        <v>6.9550000000000001</v>
      </c>
      <c r="X95" s="13">
        <f>L95*(firstCardNpBonus+VLOOKUP($X$1, cardNpValue, 2,FALSE)*(1+(O95/100))*(1+(Q95/100)))*I95</f>
        <v>16.585000000000001</v>
      </c>
      <c r="Y95" s="14">
        <f>L95*(firstCardNpBonus+VLOOKUP($Y$1, cardNpValue, 2,FALSE)*(1+(P95/100))*(1+(Q95/100)))*K95</f>
        <v>1.07</v>
      </c>
      <c r="Z95" s="15">
        <f>F95*W95+H95*X95+J95*Y95+S95</f>
        <v>32.634999999999998</v>
      </c>
      <c r="AA95" s="8">
        <f>Z95/maxTotalNpGain</f>
        <v>0.5181633321954433</v>
      </c>
      <c r="AB95" s="12">
        <f>((M95/100)+firstCardStarBonus+VLOOKUP($AB$1, cardStarValue, 2, FALSE)*(1+(N95/100))+(R95/100))*G95</f>
        <v>3.2360000000000002</v>
      </c>
      <c r="AC95" s="13">
        <f>((M95/100)+firstCardStarBonus+VLOOKUP($AC$1, cardStarValue, 2,FALSE )*(1+(O95/100))+(R95/100))*I95</f>
        <v>0.63600000000000001</v>
      </c>
      <c r="AD95" s="14">
        <f>((M95/100)+firstCardStarBonus+VLOOKUP($AD$1, cardStarValue, 2, FALSE)*(1+(P95/100))+(R95/100))*K95</f>
        <v>0.49049999999999999</v>
      </c>
      <c r="AE95" s="11">
        <f>AB95*F95+AC95*H95+AD95*J95+T95</f>
        <v>8.0890000000000004</v>
      </c>
      <c r="AF95" s="9">
        <f>AE95/maxTotalStarGen</f>
        <v>0.25226882894121322</v>
      </c>
      <c r="AG95" s="10">
        <f>(AA95+AF95)/2</f>
        <v>0.38521608056832823</v>
      </c>
      <c r="AH95" t="str">
        <f>CONCATENATE(D95,"|",B95,"|",C95,"|",E95,"|",ROUND(W95,2),"|",ROUND(X95,2),"|",ROUND(Y95,2),"|",ROUND(AB95,2),"|",ROUND(AC95,2),"|",ROUND(AD95,2),"|",ROUND(Z95,2),"|",ROUND(AE95,2),"|",ROUND(AA95*100,2),"%|",ROUND(AF95*100,2),"%|",ROUND(AG95*100,2),"%")</f>
        <v>Leonidas|2|Lancer|QQABB|6.96|16.59|1.07|3.24|0.64|0.49|32.64|8.09|51.82%|25.23%|38.52%</v>
      </c>
    </row>
    <row r="96" spans="1:34" x14ac:dyDescent="0.25">
      <c r="A96">
        <v>91</v>
      </c>
      <c r="B96">
        <v>5</v>
      </c>
      <c r="C96" t="s">
        <v>4</v>
      </c>
      <c r="D96" t="s">
        <v>53</v>
      </c>
      <c r="E96" t="s">
        <v>6</v>
      </c>
      <c r="F96" s="3">
        <v>1</v>
      </c>
      <c r="G96" s="3">
        <v>4</v>
      </c>
      <c r="H96" s="4">
        <v>2</v>
      </c>
      <c r="I96" s="4">
        <v>2</v>
      </c>
      <c r="J96" s="2">
        <v>2</v>
      </c>
      <c r="K96" s="2">
        <v>1</v>
      </c>
      <c r="L96" s="6">
        <v>0.84</v>
      </c>
      <c r="M96" s="5">
        <v>9.9</v>
      </c>
      <c r="N96" s="3">
        <v>6</v>
      </c>
      <c r="O96" s="4">
        <f>6+40/5</f>
        <v>14</v>
      </c>
      <c r="P96" s="2">
        <v>6</v>
      </c>
      <c r="Q96" s="6">
        <v>0</v>
      </c>
      <c r="R96" s="5">
        <v>0</v>
      </c>
      <c r="S96" s="6">
        <v>0</v>
      </c>
      <c r="T96" s="5">
        <v>0</v>
      </c>
      <c r="U96">
        <f>VLOOKUP(C96,classOrder,2,FALSE)</f>
        <v>2</v>
      </c>
      <c r="V96" s="7">
        <f>F96+H96+J96</f>
        <v>5</v>
      </c>
      <c r="W96" s="12">
        <f>L96*(firstCardNpBonus+VLOOKUP($W$1, cardNpValue, 2, FALSE)*(1+(N96/100))*(1+(Q96/100)))*G96</f>
        <v>8.702399999999999</v>
      </c>
      <c r="X96" s="13">
        <f>L96*(firstCardNpBonus+VLOOKUP($X$1, cardNpValue, 2,FALSE)*(1+(O96/100))*(1+(Q96/100)))*I96</f>
        <v>10.298400000000001</v>
      </c>
      <c r="Y96" s="14">
        <f>L96*(firstCardNpBonus+VLOOKUP($Y$1, cardNpValue, 2,FALSE)*(1+(P96/100))*(1+(Q96/100)))*K96</f>
        <v>0.84</v>
      </c>
      <c r="Z96" s="15">
        <f>F96*W96+H96*X96+J96*Y96+S96</f>
        <v>30.979199999999999</v>
      </c>
      <c r="AA96" s="8">
        <f>Z96/maxTotalNpGain</f>
        <v>0.49187331088552405</v>
      </c>
      <c r="AB96" s="12">
        <f>((M96/100)+firstCardStarBonus+VLOOKUP($AB$1, cardStarValue, 2, FALSE)*(1+(N96/100))+(R96/100))*G96</f>
        <v>6.7080000000000002</v>
      </c>
      <c r="AC96" s="13">
        <f>((M96/100)+firstCardStarBonus+VLOOKUP($AC$1, cardStarValue, 2,FALSE )*(1+(O96/100))+(R96/100))*I96</f>
        <v>0.59800000000000009</v>
      </c>
      <c r="AD96" s="14">
        <f>((M96/100)+firstCardStarBonus+VLOOKUP($AD$1, cardStarValue, 2, FALSE)*(1+(P96/100))+(R96/100))*K96</f>
        <v>0.45800000000000007</v>
      </c>
      <c r="AE96" s="11">
        <f>AB96*F96+AC96*H96+AD96*J96+T96</f>
        <v>8.82</v>
      </c>
      <c r="AF96" s="9">
        <f>AE96/maxTotalStarGen</f>
        <v>0.27506627163573993</v>
      </c>
      <c r="AG96" s="10">
        <f>(AA96+AF96)/2</f>
        <v>0.38346979126063196</v>
      </c>
      <c r="AH96" t="str">
        <f>CONCATENATE(D96,"|",B96,"|",C96,"|",E96,"|",ROUND(W96,2),"|",ROUND(X96,2),"|",ROUND(Y96,2),"|",ROUND(AB96,2),"|",ROUND(AC96,2),"|",ROUND(AD96,2),"|",ROUND(Z96,2),"|",ROUND(AE96,2),"|",ROUND(AA96*100,2),"%|",ROUND(AF96*100,2),"%|",ROUND(AG96*100,2),"%")</f>
        <v>Ryougi Shiki (Saber)|5|Saber|QAABB|8.7|10.3|0.84|6.71|0.6|0.46|30.98|8.82|49.19%|27.51%|38.35%</v>
      </c>
    </row>
    <row r="97" spans="1:34" x14ac:dyDescent="0.25">
      <c r="A97">
        <v>147</v>
      </c>
      <c r="B97">
        <v>4</v>
      </c>
      <c r="C97" t="s">
        <v>213</v>
      </c>
      <c r="D97" t="s">
        <v>217</v>
      </c>
      <c r="E97" t="s">
        <v>6</v>
      </c>
      <c r="F97" s="3">
        <v>1</v>
      </c>
      <c r="G97" s="3">
        <v>3</v>
      </c>
      <c r="H97" s="4">
        <v>2</v>
      </c>
      <c r="I97" s="4">
        <v>5</v>
      </c>
      <c r="J97" s="2">
        <v>2</v>
      </c>
      <c r="K97" s="2">
        <v>3</v>
      </c>
      <c r="L97" s="6">
        <v>0.37</v>
      </c>
      <c r="M97" s="5">
        <v>6</v>
      </c>
      <c r="N97" s="3">
        <v>0</v>
      </c>
      <c r="O97" s="4">
        <v>0</v>
      </c>
      <c r="P97" s="2">
        <v>0</v>
      </c>
      <c r="Q97" s="6">
        <v>0</v>
      </c>
      <c r="R97" s="5">
        <v>0</v>
      </c>
      <c r="S97" s="6">
        <v>3.8</v>
      </c>
      <c r="T97" s="5">
        <v>0</v>
      </c>
      <c r="U97">
        <f>VLOOKUP(C97,classOrder,2,FALSE)</f>
        <v>10</v>
      </c>
      <c r="V97" s="7">
        <f>F97+H97+J97</f>
        <v>5</v>
      </c>
      <c r="W97" s="12">
        <f>L97*(firstCardNpBonus+VLOOKUP($W$1, cardNpValue, 2, FALSE)*(1+(N97/100))*(1+(Q97/100)))*G97</f>
        <v>2.7750000000000004</v>
      </c>
      <c r="X97" s="13">
        <f>L97*(firstCardNpBonus+VLOOKUP($X$1, cardNpValue, 2,FALSE)*(1+(O97/100))*(1+(Q97/100)))*I97</f>
        <v>10.175000000000001</v>
      </c>
      <c r="Y97" s="14">
        <f>L97*(firstCardNpBonus+VLOOKUP($Y$1, cardNpValue, 2,FALSE)*(1+(P97/100))*(1+(Q97/100)))*K97</f>
        <v>1.1099999999999999</v>
      </c>
      <c r="Z97" s="15">
        <f>F97*W97+H97*X97+J97*Y97+S97</f>
        <v>29.145</v>
      </c>
      <c r="AA97" s="8">
        <f>Z97/maxTotalNpGain</f>
        <v>0.46275073745476319</v>
      </c>
      <c r="AB97" s="12">
        <f>((M97/100)+firstCardStarBonus+VLOOKUP($AB$1, cardStarValue, 2, FALSE)*(1+(N97/100))+(R97/100))*G97</f>
        <v>4.68</v>
      </c>
      <c r="AC97" s="13">
        <f>((M97/100)+firstCardStarBonus+VLOOKUP($AC$1, cardStarValue, 2,FALSE )*(1+(O97/100))+(R97/100))*I97</f>
        <v>1.3</v>
      </c>
      <c r="AD97" s="14">
        <f>((M97/100)+firstCardStarBonus+VLOOKUP($AD$1, cardStarValue, 2, FALSE)*(1+(P97/100))+(R97/100))*K97</f>
        <v>1.23</v>
      </c>
      <c r="AE97" s="11">
        <f>AB97*F97+AC97*H97+AD97*J97+T97</f>
        <v>9.7399999999999984</v>
      </c>
      <c r="AF97" s="9">
        <f>AE97/maxTotalStarGen</f>
        <v>0.30375799157960393</v>
      </c>
      <c r="AG97" s="10">
        <f>(AA97+AF97)/2</f>
        <v>0.38325436451718353</v>
      </c>
      <c r="AH97" t="str">
        <f>CONCATENATE(D97,"|",B97,"|",C97,"|",E97,"|",ROUND(W97,2),"|",ROUND(X97,2),"|",ROUND(Y97,2),"|",ROUND(AB97,2),"|",ROUND(AC97,2),"|",ROUND(AD97,2),"|",ROUND(Z97,2),"|",ROUND(AE97,2),"|",ROUND(AA97*100,2),"%|",ROUND(AF97*100,2),"%|",ROUND(AG97*100,2),"%")</f>
        <v>Gorgon|4|Avenger|QAABB|2.78|10.18|1.11|4.68|1.3|1.23|29.15|9.74|46.28%|30.38%|38.33%</v>
      </c>
    </row>
    <row r="98" spans="1:34" x14ac:dyDescent="0.25">
      <c r="A98">
        <v>16</v>
      </c>
      <c r="B98">
        <v>1</v>
      </c>
      <c r="C98" t="s">
        <v>63</v>
      </c>
      <c r="D98" t="s">
        <v>70</v>
      </c>
      <c r="E98" t="s">
        <v>6</v>
      </c>
      <c r="F98" s="3">
        <v>1</v>
      </c>
      <c r="G98" s="3">
        <v>3</v>
      </c>
      <c r="H98" s="4">
        <v>2</v>
      </c>
      <c r="I98" s="4">
        <v>2</v>
      </c>
      <c r="J98" s="2">
        <v>2</v>
      </c>
      <c r="K98" s="2">
        <v>1</v>
      </c>
      <c r="L98" s="6">
        <v>0.84</v>
      </c>
      <c r="M98" s="5">
        <v>8</v>
      </c>
      <c r="N98" s="3">
        <v>0</v>
      </c>
      <c r="O98" s="4">
        <v>0</v>
      </c>
      <c r="P98" s="2">
        <v>0</v>
      </c>
      <c r="Q98" s="6">
        <v>0</v>
      </c>
      <c r="R98" s="5">
        <f>40*3/6</f>
        <v>20</v>
      </c>
      <c r="S98" s="6">
        <f>30/6</f>
        <v>5</v>
      </c>
      <c r="T98" s="5">
        <v>0</v>
      </c>
      <c r="U98">
        <f>VLOOKUP(C98,classOrder,2,FALSE)</f>
        <v>3</v>
      </c>
      <c r="V98" s="7">
        <f>F98+H98+J98</f>
        <v>5</v>
      </c>
      <c r="W98" s="12">
        <f>L98*(firstCardNpBonus+VLOOKUP($W$1, cardNpValue, 2, FALSE)*(1+(N98/100))*(1+(Q98/100)))*G98</f>
        <v>6.3000000000000007</v>
      </c>
      <c r="X98" s="13">
        <f>L98*(firstCardNpBonus+VLOOKUP($X$1, cardNpValue, 2,FALSE)*(1+(O98/100))*(1+(Q98/100)))*I98</f>
        <v>9.24</v>
      </c>
      <c r="Y98" s="14">
        <f>L98*(firstCardNpBonus+VLOOKUP($Y$1, cardNpValue, 2,FALSE)*(1+(P98/100))*(1+(Q98/100)))*K98</f>
        <v>0.84</v>
      </c>
      <c r="Z98" s="15">
        <f>F98*W98+H98*X98+J98*Y98+S98</f>
        <v>31.46</v>
      </c>
      <c r="AA98" s="8">
        <f>Z98/maxTotalNpGain</f>
        <v>0.49950722938160408</v>
      </c>
      <c r="AB98" s="12">
        <f>((M98/100)+firstCardStarBonus+VLOOKUP($AB$1, cardStarValue, 2, FALSE)*(1+(N98/100))+(R98/100))*G98</f>
        <v>5.34</v>
      </c>
      <c r="AC98" s="13">
        <f>((M98/100)+firstCardStarBonus+VLOOKUP($AC$1, cardStarValue, 2,FALSE )*(1+(O98/100))+(R98/100))*I98</f>
        <v>0.96000000000000008</v>
      </c>
      <c r="AD98" s="14">
        <f>((M98/100)+firstCardStarBonus+VLOOKUP($AD$1, cardStarValue, 2, FALSE)*(1+(P98/100))+(R98/100))*K98</f>
        <v>0.63000000000000012</v>
      </c>
      <c r="AE98" s="11">
        <f>AB98*F98+AC98*H98+AD98*J98+T98</f>
        <v>8.52</v>
      </c>
      <c r="AF98" s="9">
        <f>AE98/maxTotalStarGen</f>
        <v>0.26571027600187119</v>
      </c>
      <c r="AG98" s="10">
        <f>(AA98+AF98)/2</f>
        <v>0.38260875269173766</v>
      </c>
      <c r="AH98" t="str">
        <f>CONCATENATE(D98,"|",B98,"|",C98,"|",E98,"|",ROUND(W98,2),"|",ROUND(X98,2),"|",ROUND(Y98,2),"|",ROUND(AB98,2),"|",ROUND(AC98,2),"|",ROUND(AD98,2),"|",ROUND(Z98,2),"|",ROUND(AE98,2),"|",ROUND(AA98*100,2),"%|",ROUND(AF98*100,2),"%|",ROUND(AG98*100,2),"%")</f>
        <v>Arash|1|Archer|QAABB|6.3|9.24|0.84|5.34|0.96|0.63|31.46|8.52|49.95%|26.57%|38.26%</v>
      </c>
    </row>
    <row r="99" spans="1:34" x14ac:dyDescent="0.25">
      <c r="A99">
        <v>94</v>
      </c>
      <c r="B99">
        <v>4</v>
      </c>
      <c r="C99" t="s">
        <v>114</v>
      </c>
      <c r="D99" t="s">
        <v>126</v>
      </c>
      <c r="E99" t="s">
        <v>111</v>
      </c>
      <c r="F99" s="3">
        <v>3</v>
      </c>
      <c r="G99" s="3">
        <v>2</v>
      </c>
      <c r="H99" s="4">
        <v>1</v>
      </c>
      <c r="I99" s="4">
        <v>2</v>
      </c>
      <c r="J99" s="2">
        <v>1</v>
      </c>
      <c r="K99" s="2">
        <v>1</v>
      </c>
      <c r="L99" s="6">
        <v>0.66</v>
      </c>
      <c r="M99" s="5">
        <v>9</v>
      </c>
      <c r="N99" s="3">
        <v>11</v>
      </c>
      <c r="O99" s="4">
        <v>0</v>
      </c>
      <c r="P99" s="2">
        <v>0</v>
      </c>
      <c r="Q99" s="6">
        <v>0</v>
      </c>
      <c r="R99" s="5">
        <f>50*3*0.65/8</f>
        <v>12.1875</v>
      </c>
      <c r="S99" s="6">
        <v>0</v>
      </c>
      <c r="T99" s="5">
        <f>10*3*0.65/8</f>
        <v>2.4375</v>
      </c>
      <c r="U99">
        <f>VLOOKUP(C99,classOrder,2,FALSE)</f>
        <v>5</v>
      </c>
      <c r="V99" s="7">
        <f>F99+H99+J99</f>
        <v>5</v>
      </c>
      <c r="W99" s="12">
        <f>L99*(firstCardNpBonus+VLOOKUP($W$1, cardNpValue, 2, FALSE)*(1+(N99/100))*(1+(Q99/100)))*G99</f>
        <v>3.5178000000000003</v>
      </c>
      <c r="X99" s="13">
        <f>L99*(firstCardNpBonus+VLOOKUP($X$1, cardNpValue, 2,FALSE)*(1+(O99/100))*(1+(Q99/100)))*I99</f>
        <v>7.2600000000000007</v>
      </c>
      <c r="Y99" s="14">
        <f>L99*(firstCardNpBonus+VLOOKUP($Y$1, cardNpValue, 2,FALSE)*(1+(P99/100))*(1+(Q99/100)))*K99</f>
        <v>0.66</v>
      </c>
      <c r="Z99" s="15">
        <f>F99*W99+H99*X99+J99*Y99+S99</f>
        <v>18.473400000000002</v>
      </c>
      <c r="AA99" s="8">
        <f>Z99/maxTotalNpGain</f>
        <v>0.29331204231589719</v>
      </c>
      <c r="AB99" s="12">
        <f>((M99/100)+firstCardStarBonus+VLOOKUP($AB$1, cardStarValue, 2, FALSE)*(1+(N99/100))+(R99/100))*G99</f>
        <v>3.7097500000000005</v>
      </c>
      <c r="AC99" s="13">
        <f>((M99/100)+firstCardStarBonus+VLOOKUP($AC$1, cardStarValue, 2,FALSE )*(1+(O99/100))+(R99/100))*I99</f>
        <v>0.82375000000000009</v>
      </c>
      <c r="AD99" s="14">
        <f>((M99/100)+firstCardStarBonus+VLOOKUP($AD$1, cardStarValue, 2, FALSE)*(1+(P99/100))+(R99/100))*K99</f>
        <v>0.56187500000000001</v>
      </c>
      <c r="AE99" s="11">
        <f>AB99*F99+AC99*H99+AD99*J99+T99</f>
        <v>14.952375000000004</v>
      </c>
      <c r="AF99" s="9">
        <f>AE99/maxTotalStarGen</f>
        <v>0.46631451738655871</v>
      </c>
      <c r="AG99" s="10">
        <f>(AA99+AF99)/2</f>
        <v>0.37981327985122793</v>
      </c>
      <c r="AH99" t="str">
        <f>CONCATENATE(D99,"|",B99,"|",C99,"|",E99,"|",ROUND(W99,2),"|",ROUND(X99,2),"|",ROUND(Y99,2),"|",ROUND(AB99,2),"|",ROUND(AC99,2),"|",ROUND(AD99,2),"|",ROUND(Z99,2),"|",ROUND(AE99,2),"|",ROUND(AA99*100,2),"%|",ROUND(AF99*100,2),"%|",ROUND(AG99*100,2),"%")</f>
        <v>Astolfo|4|Rider|QQQAB|3.52|7.26|0.66|3.71|0.82|0.56|18.47|14.95|29.33%|46.63%|37.98%</v>
      </c>
    </row>
    <row r="100" spans="1:34" x14ac:dyDescent="0.25">
      <c r="A100">
        <v>66</v>
      </c>
      <c r="B100">
        <v>4</v>
      </c>
      <c r="C100" t="s">
        <v>114</v>
      </c>
      <c r="D100" t="s">
        <v>124</v>
      </c>
      <c r="E100" t="s">
        <v>67</v>
      </c>
      <c r="F100" s="3">
        <v>2</v>
      </c>
      <c r="G100" s="3">
        <v>2</v>
      </c>
      <c r="H100" s="4">
        <v>2</v>
      </c>
      <c r="I100" s="4">
        <v>2</v>
      </c>
      <c r="J100" s="2">
        <v>1</v>
      </c>
      <c r="K100" s="2">
        <v>1</v>
      </c>
      <c r="L100" s="6">
        <v>0.84</v>
      </c>
      <c r="M100" s="5">
        <v>9.1</v>
      </c>
      <c r="N100" s="3">
        <v>0</v>
      </c>
      <c r="O100" s="4">
        <v>0</v>
      </c>
      <c r="P100" s="2">
        <v>0</v>
      </c>
      <c r="Q100" s="6">
        <v>0</v>
      </c>
      <c r="R100" s="5">
        <f>50*3/6</f>
        <v>25</v>
      </c>
      <c r="S100" s="6">
        <v>0</v>
      </c>
      <c r="T100" s="5">
        <v>0</v>
      </c>
      <c r="U100">
        <f>VLOOKUP(C100,classOrder,2,FALSE)</f>
        <v>5</v>
      </c>
      <c r="V100" s="7">
        <f>F100+H100+J100</f>
        <v>5</v>
      </c>
      <c r="W100" s="12">
        <f>L100*(firstCardNpBonus+VLOOKUP($W$1, cardNpValue, 2, FALSE)*(1+(N100/100))*(1+(Q100/100)))*G100</f>
        <v>4.2</v>
      </c>
      <c r="X100" s="13">
        <f>L100*(firstCardNpBonus+VLOOKUP($X$1, cardNpValue, 2,FALSE)*(1+(O100/100))*(1+(Q100/100)))*I100</f>
        <v>9.24</v>
      </c>
      <c r="Y100" s="14">
        <f>L100*(firstCardNpBonus+VLOOKUP($Y$1, cardNpValue, 2,FALSE)*(1+(P100/100))*(1+(Q100/100)))*K100</f>
        <v>0.84</v>
      </c>
      <c r="Z100" s="15">
        <f>F100*W100+H100*X100+J100*Y100+S100</f>
        <v>27.720000000000002</v>
      </c>
      <c r="AA100" s="8">
        <f>Z100/maxTotalNpGain</f>
        <v>0.4401252510635113</v>
      </c>
      <c r="AB100" s="12">
        <f>((M100/100)+firstCardStarBonus+VLOOKUP($AB$1, cardStarValue, 2, FALSE)*(1+(N100/100))+(R100/100))*G100</f>
        <v>3.6820000000000004</v>
      </c>
      <c r="AC100" s="13">
        <f>((M100/100)+firstCardStarBonus+VLOOKUP($AC$1, cardStarValue, 2,FALSE )*(1+(O100/100))+(R100/100))*I100</f>
        <v>1.0820000000000001</v>
      </c>
      <c r="AD100" s="14">
        <f>((M100/100)+firstCardStarBonus+VLOOKUP($AD$1, cardStarValue, 2, FALSE)*(1+(P100/100))+(R100/100))*K100</f>
        <v>0.69100000000000006</v>
      </c>
      <c r="AE100" s="11">
        <f>AB100*F100+AC100*H100+AD100*J100+T100</f>
        <v>10.219000000000001</v>
      </c>
      <c r="AF100" s="9">
        <f>AE100/maxTotalStarGen</f>
        <v>0.31869639794168103</v>
      </c>
      <c r="AG100" s="10">
        <f>(AA100+AF100)/2</f>
        <v>0.37941082450259617</v>
      </c>
      <c r="AH100" t="str">
        <f>CONCATENATE(D100,"|",B100,"|",C100,"|",E100,"|",ROUND(W100,2),"|",ROUND(X100,2),"|",ROUND(Y100,2),"|",ROUND(AB100,2),"|",ROUND(AC100,2),"|",ROUND(AD100,2),"|",ROUND(Z100,2),"|",ROUND(AE100,2),"|",ROUND(AA100*100,2),"%|",ROUND(AF100*100,2),"%|",ROUND(AG100*100,2),"%")</f>
        <v>Anne Bonny &amp; Mary Read|4|Rider|QQAAB|4.2|9.24|0.84|3.68|1.08|0.69|27.72|10.22|44.01%|31.87%|37.94%</v>
      </c>
    </row>
    <row r="101" spans="1:34" x14ac:dyDescent="0.25">
      <c r="A101">
        <v>126</v>
      </c>
      <c r="B101">
        <v>3</v>
      </c>
      <c r="C101" t="s">
        <v>4</v>
      </c>
      <c r="D101" t="s">
        <v>57</v>
      </c>
      <c r="E101" t="s">
        <v>36</v>
      </c>
      <c r="F101" s="3">
        <v>2</v>
      </c>
      <c r="G101" s="3">
        <v>2</v>
      </c>
      <c r="H101" s="4">
        <v>1</v>
      </c>
      <c r="I101" s="4">
        <v>2</v>
      </c>
      <c r="J101" s="2">
        <v>2</v>
      </c>
      <c r="K101" s="2">
        <v>1</v>
      </c>
      <c r="L101" s="6">
        <v>1.1100000000000001</v>
      </c>
      <c r="M101" s="5">
        <v>10.199999999999999</v>
      </c>
      <c r="N101" s="3">
        <v>10</v>
      </c>
      <c r="O101" s="4">
        <v>0</v>
      </c>
      <c r="P101" s="2">
        <v>0</v>
      </c>
      <c r="Q101" s="6">
        <v>0</v>
      </c>
      <c r="R101" s="5">
        <v>0</v>
      </c>
      <c r="S101" s="6">
        <f>30/6</f>
        <v>5</v>
      </c>
      <c r="T101" s="5">
        <v>0</v>
      </c>
      <c r="U101">
        <f>VLOOKUP(C101,classOrder,2,FALSE)</f>
        <v>2</v>
      </c>
      <c r="V101" s="7">
        <f>F101+H101+J101</f>
        <v>5</v>
      </c>
      <c r="W101" s="12">
        <f>L101*(firstCardNpBonus+VLOOKUP($W$1, cardNpValue, 2, FALSE)*(1+(N101/100))*(1+(Q101/100)))*G101</f>
        <v>5.8830000000000009</v>
      </c>
      <c r="X101" s="13">
        <f>L101*(firstCardNpBonus+VLOOKUP($X$1, cardNpValue, 2,FALSE)*(1+(O101/100))*(1+(Q101/100)))*I101</f>
        <v>12.21</v>
      </c>
      <c r="Y101" s="14">
        <f>L101*(firstCardNpBonus+VLOOKUP($Y$1, cardNpValue, 2,FALSE)*(1+(P101/100))*(1+(Q101/100)))*K101</f>
        <v>1.1100000000000001</v>
      </c>
      <c r="Z101" s="15">
        <f>F101*W101+H101*X101+J101*Y101+S101</f>
        <v>31.196000000000002</v>
      </c>
      <c r="AA101" s="8">
        <f>Z101/maxTotalNpGain</f>
        <v>0.49531556032385632</v>
      </c>
      <c r="AB101" s="12">
        <f>((M101/100)+firstCardStarBonus+VLOOKUP($AB$1, cardStarValue, 2, FALSE)*(1+(N101/100))+(R101/100))*G101</f>
        <v>3.4640000000000004</v>
      </c>
      <c r="AC101" s="13">
        <f>((M101/100)+firstCardStarBonus+VLOOKUP($AC$1, cardStarValue, 2,FALSE )*(1+(O101/100))+(R101/100))*I101</f>
        <v>0.60399999999999998</v>
      </c>
      <c r="AD101" s="14">
        <f>((M101/100)+firstCardStarBonus+VLOOKUP($AD$1, cardStarValue, 2, FALSE)*(1+(P101/100))+(R101/100))*K101</f>
        <v>0.45199999999999996</v>
      </c>
      <c r="AE101" s="11">
        <f>AB101*F101+AC101*H101+AD101*J101+T101</f>
        <v>8.4359999999999999</v>
      </c>
      <c r="AF101" s="9">
        <f>AE101/maxTotalStarGen</f>
        <v>0.26309059722438799</v>
      </c>
      <c r="AG101" s="10">
        <f>(AA101+AF101)/2</f>
        <v>0.37920307877412218</v>
      </c>
      <c r="AH101" t="str">
        <f>CONCATENATE(D101,"|",B101,"|",C101,"|",E101,"|",ROUND(W101,2),"|",ROUND(X101,2),"|",ROUND(Y101,2),"|",ROUND(AB101,2),"|",ROUND(AC101,2),"|",ROUND(AD101,2),"|",ROUND(Z101,2),"|",ROUND(AE101,2),"|",ROUND(AA101*100,2),"%|",ROUND(AF101*100,2),"%|",ROUND(AG101*100,2),"%")</f>
        <v>Bedivere|3|Saber|QQABB|5.88|12.21|1.11|3.46|0.6|0.45|31.2|8.44|49.53%|26.31%|37.92%</v>
      </c>
    </row>
    <row r="102" spans="1:34" x14ac:dyDescent="0.25">
      <c r="A102">
        <v>60</v>
      </c>
      <c r="B102">
        <v>5</v>
      </c>
      <c r="C102" t="s">
        <v>63</v>
      </c>
      <c r="D102" t="s">
        <v>71</v>
      </c>
      <c r="E102" t="s">
        <v>67</v>
      </c>
      <c r="F102" s="3">
        <v>2</v>
      </c>
      <c r="G102" s="3">
        <v>3</v>
      </c>
      <c r="H102" s="4">
        <v>2</v>
      </c>
      <c r="I102" s="4">
        <v>1</v>
      </c>
      <c r="J102" s="2">
        <v>1</v>
      </c>
      <c r="K102" s="2">
        <v>1</v>
      </c>
      <c r="L102" s="6">
        <v>1</v>
      </c>
      <c r="M102" s="5">
        <v>8</v>
      </c>
      <c r="N102" s="3">
        <v>0</v>
      </c>
      <c r="O102" s="4">
        <v>0</v>
      </c>
      <c r="P102" s="2">
        <v>0</v>
      </c>
      <c r="Q102" s="6">
        <v>0</v>
      </c>
      <c r="R102" s="5">
        <v>0</v>
      </c>
      <c r="S102" s="6">
        <v>0</v>
      </c>
      <c r="T102" s="5">
        <v>0</v>
      </c>
      <c r="U102">
        <f>VLOOKUP(C102,classOrder,2,FALSE)</f>
        <v>3</v>
      </c>
      <c r="V102" s="7">
        <f>F102+H102+J102</f>
        <v>5</v>
      </c>
      <c r="W102" s="12">
        <f>L102*(firstCardNpBonus+VLOOKUP($W$1, cardNpValue, 2, FALSE)*(1+(N102/100))*(1+(Q102/100)))*G102</f>
        <v>7.5</v>
      </c>
      <c r="X102" s="13">
        <f>L102*(firstCardNpBonus+VLOOKUP($X$1, cardNpValue, 2,FALSE)*(1+(O102/100))*(1+(Q102/100)))*I102</f>
        <v>5.5</v>
      </c>
      <c r="Y102" s="14">
        <f>L102*(firstCardNpBonus+VLOOKUP($Y$1, cardNpValue, 2,FALSE)*(1+(P102/100))*(1+(Q102/100)))*K102</f>
        <v>1</v>
      </c>
      <c r="Z102" s="15">
        <f>F102*W102+H102*X102+J102*Y102+S102</f>
        <v>27</v>
      </c>
      <c r="AA102" s="8">
        <f>Z102/maxTotalNpGain</f>
        <v>0.4286934263605629</v>
      </c>
      <c r="AB102" s="12">
        <f>((M102/100)+firstCardStarBonus+VLOOKUP($AB$1, cardStarValue, 2, FALSE)*(1+(N102/100))+(R102/100))*G102</f>
        <v>4.74</v>
      </c>
      <c r="AC102" s="13">
        <f>((M102/100)+firstCardStarBonus+VLOOKUP($AC$1, cardStarValue, 2,FALSE )*(1+(O102/100))+(R102/100))*I102</f>
        <v>0.28000000000000003</v>
      </c>
      <c r="AD102" s="14">
        <f>((M102/100)+firstCardStarBonus+VLOOKUP($AD$1, cardStarValue, 2, FALSE)*(1+(P102/100))+(R102/100))*K102</f>
        <v>0.43000000000000005</v>
      </c>
      <c r="AE102" s="11">
        <f>AB102*F102+AC102*H102+AD102*J102+T102</f>
        <v>10.47</v>
      </c>
      <c r="AF102" s="9">
        <f>AE102/maxTotalStarGen</f>
        <v>0.32652424762201782</v>
      </c>
      <c r="AG102" s="10">
        <f>(AA102+AF102)/2</f>
        <v>0.37760883699129033</v>
      </c>
      <c r="AH102" t="str">
        <f>CONCATENATE(D102,"|",B102,"|",C102,"|",E102,"|",ROUND(W102,2),"|",ROUND(X102,2),"|",ROUND(Y102,2),"|",ROUND(AB102,2),"|",ROUND(AC102,2),"|",ROUND(AD102,2),"|",ROUND(Z102,2),"|",ROUND(AE102,2),"|",ROUND(AA102*100,2),"%|",ROUND(AF102*100,2),"%|",ROUND(AG102*100,2),"%")</f>
        <v>Orion|5|Archer|QQAAB|7.5|5.5|1|4.74|0.28|0.43|27|10.47|42.87%|32.65%|37.76%</v>
      </c>
    </row>
    <row r="103" spans="1:34" x14ac:dyDescent="0.25">
      <c r="A103">
        <v>28</v>
      </c>
      <c r="B103">
        <v>3</v>
      </c>
      <c r="C103" t="s">
        <v>114</v>
      </c>
      <c r="D103" t="s">
        <v>120</v>
      </c>
      <c r="E103" t="s">
        <v>67</v>
      </c>
      <c r="F103" s="3">
        <v>2</v>
      </c>
      <c r="G103" s="3">
        <v>2</v>
      </c>
      <c r="H103" s="4">
        <v>2</v>
      </c>
      <c r="I103" s="4">
        <v>2</v>
      </c>
      <c r="J103" s="2">
        <v>1</v>
      </c>
      <c r="K103" s="2">
        <v>1</v>
      </c>
      <c r="L103" s="6">
        <v>0.86</v>
      </c>
      <c r="M103" s="5">
        <v>9</v>
      </c>
      <c r="N103" s="3">
        <f>11+20*3/5</f>
        <v>23</v>
      </c>
      <c r="O103" s="4">
        <v>0</v>
      </c>
      <c r="P103" s="2">
        <v>0</v>
      </c>
      <c r="Q103" s="6">
        <v>0</v>
      </c>
      <c r="R103" s="5">
        <v>0</v>
      </c>
      <c r="S103" s="6">
        <v>0</v>
      </c>
      <c r="T103" s="5">
        <v>0</v>
      </c>
      <c r="U103">
        <f>VLOOKUP(C103,classOrder,2,FALSE)</f>
        <v>5</v>
      </c>
      <c r="V103" s="7">
        <f>F103+H103+J103</f>
        <v>5</v>
      </c>
      <c r="W103" s="12">
        <f>L103*(firstCardNpBonus+VLOOKUP($W$1, cardNpValue, 2, FALSE)*(1+(N103/100))*(1+(Q103/100)))*G103</f>
        <v>4.8933999999999997</v>
      </c>
      <c r="X103" s="13">
        <f>L103*(firstCardNpBonus+VLOOKUP($X$1, cardNpValue, 2,FALSE)*(1+(O103/100))*(1+(Q103/100)))*I103</f>
        <v>9.4599999999999991</v>
      </c>
      <c r="Y103" s="14">
        <f>L103*(firstCardNpBonus+VLOOKUP($Y$1, cardNpValue, 2,FALSE)*(1+(P103/100))*(1+(Q103/100)))*K103</f>
        <v>0.86</v>
      </c>
      <c r="Z103" s="15">
        <f>F103*W103+H103*X103+J103*Y103+S103</f>
        <v>29.566799999999997</v>
      </c>
      <c r="AA103" s="8">
        <f>Z103/maxTotalNpGain</f>
        <v>0.46944788142657373</v>
      </c>
      <c r="AB103" s="12">
        <f>((M103/100)+firstCardStarBonus+VLOOKUP($AB$1, cardStarValue, 2, FALSE)*(1+(N103/100))+(R103/100))*G103</f>
        <v>3.778</v>
      </c>
      <c r="AC103" s="13">
        <f>((M103/100)+firstCardStarBonus+VLOOKUP($AC$1, cardStarValue, 2,FALSE )*(1+(O103/100))+(R103/100))*I103</f>
        <v>0.58000000000000007</v>
      </c>
      <c r="AD103" s="14">
        <f>((M103/100)+firstCardStarBonus+VLOOKUP($AD$1, cardStarValue, 2, FALSE)*(1+(P103/100))+(R103/100))*K103</f>
        <v>0.44000000000000006</v>
      </c>
      <c r="AE103" s="11">
        <f>AB103*F103+AC103*H103+AD103*J103+T103</f>
        <v>9.1560000000000006</v>
      </c>
      <c r="AF103" s="9">
        <f>AE103/maxTotalStarGen</f>
        <v>0.28554498674567291</v>
      </c>
      <c r="AG103" s="10">
        <f>(AA103+AF103)/2</f>
        <v>0.37749643408612332</v>
      </c>
      <c r="AH103" t="str">
        <f>CONCATENATE(D103,"|",B103,"|",C103,"|",E103,"|",ROUND(W103,2),"|",ROUND(X103,2),"|",ROUND(Y103,2),"|",ROUND(AB103,2),"|",ROUND(AC103,2),"|",ROUND(AD103,2),"|",ROUND(Z103,2),"|",ROUND(AE103,2),"|",ROUND(AA103*100,2),"%|",ROUND(AF103*100,2),"%|",ROUND(AG103*100,2),"%")</f>
        <v>Alexander|3|Rider|QQAAB|4.89|9.46|0.86|3.78|0.58|0.44|29.57|9.16|46.94%|28.55%|37.75%</v>
      </c>
    </row>
    <row r="104" spans="1:34" x14ac:dyDescent="0.25">
      <c r="A104">
        <v>111</v>
      </c>
      <c r="B104">
        <v>4</v>
      </c>
      <c r="C104" t="s">
        <v>133</v>
      </c>
      <c r="D104" t="s">
        <v>151</v>
      </c>
      <c r="E104" t="s">
        <v>64</v>
      </c>
      <c r="F104" s="3">
        <v>1</v>
      </c>
      <c r="G104" s="3">
        <v>3</v>
      </c>
      <c r="H104" s="4">
        <v>3</v>
      </c>
      <c r="I104" s="4">
        <v>3</v>
      </c>
      <c r="J104" s="2">
        <v>1</v>
      </c>
      <c r="K104" s="2">
        <v>3</v>
      </c>
      <c r="L104" s="6">
        <v>0.42</v>
      </c>
      <c r="M104" s="5">
        <v>10.8</v>
      </c>
      <c r="N104" s="3">
        <v>0</v>
      </c>
      <c r="O104" s="4">
        <v>8</v>
      </c>
      <c r="P104" s="2">
        <v>0</v>
      </c>
      <c r="Q104" s="6">
        <f>30*3/6</f>
        <v>15</v>
      </c>
      <c r="R104" s="5">
        <v>0</v>
      </c>
      <c r="S104" s="6">
        <v>0</v>
      </c>
      <c r="T104" s="5">
        <v>0</v>
      </c>
      <c r="U104">
        <f>VLOOKUP(C104,classOrder,2,FALSE)</f>
        <v>6</v>
      </c>
      <c r="V104" s="7">
        <f>F104+H104+J104</f>
        <v>5</v>
      </c>
      <c r="W104" s="12">
        <f>L104*(firstCardNpBonus+VLOOKUP($W$1, cardNpValue, 2, FALSE)*(1+(N104/100))*(1+(Q104/100)))*G104</f>
        <v>3.4334999999999996</v>
      </c>
      <c r="X104" s="13">
        <f>L104*(firstCardNpBonus+VLOOKUP($X$1, cardNpValue, 2,FALSE)*(1+(O104/100))*(1+(Q104/100)))*I104</f>
        <v>8.3021399999999996</v>
      </c>
      <c r="Y104" s="14">
        <f>L104*(firstCardNpBonus+VLOOKUP($Y$1, cardNpValue, 2,FALSE)*(1+(P104/100))*(1+(Q104/100)))*K104</f>
        <v>1.26</v>
      </c>
      <c r="Z104" s="15">
        <f>F104*W104+H104*X104+J104*Y104+S104</f>
        <v>29.599919999999997</v>
      </c>
      <c r="AA104" s="8">
        <f>Z104/maxTotalNpGain</f>
        <v>0.46997374536290937</v>
      </c>
      <c r="AB104" s="12">
        <f>((M104/100)+firstCardStarBonus+VLOOKUP($AB$1, cardStarValue, 2, FALSE)*(1+(N104/100))+(R104/100))*G104</f>
        <v>4.8239999999999998</v>
      </c>
      <c r="AC104" s="13">
        <f>((M104/100)+firstCardStarBonus+VLOOKUP($AC$1, cardStarValue, 2,FALSE )*(1+(O104/100))+(R104/100))*I104</f>
        <v>0.92400000000000015</v>
      </c>
      <c r="AD104" s="14">
        <f>((M104/100)+firstCardStarBonus+VLOOKUP($AD$1, cardStarValue, 2, FALSE)*(1+(P104/100))+(R104/100))*K104</f>
        <v>1.3740000000000001</v>
      </c>
      <c r="AE104" s="11">
        <f>AB104*F104+AC104*H104+AD104*J104+T104</f>
        <v>8.9700000000000006</v>
      </c>
      <c r="AF104" s="9">
        <f>AE104/maxTotalStarGen</f>
        <v>0.27974426945267428</v>
      </c>
      <c r="AG104" s="10">
        <f>(AA104+AF104)/2</f>
        <v>0.37485900740779182</v>
      </c>
      <c r="AH104" t="str">
        <f>CONCATENATE(D104,"|",B104,"|",C104,"|",E104,"|",ROUND(W104,2),"|",ROUND(X104,2),"|",ROUND(Y104,2),"|",ROUND(AB104,2),"|",ROUND(AC104,2),"|",ROUND(AD104,2),"|",ROUND(Z104,2),"|",ROUND(AE104,2),"|",ROUND(AA104*100,2),"%|",ROUND(AF104*100,2),"%|",ROUND(AG104*100,2),"%")</f>
        <v>Irisviel (Dress of Heaven)|4|Caster|QAAAB|3.43|8.3|1.26|4.82|0.92|1.37|29.6|8.97|47%|27.97%|37.49%</v>
      </c>
    </row>
    <row r="105" spans="1:34" x14ac:dyDescent="0.25">
      <c r="A105">
        <v>26</v>
      </c>
      <c r="B105">
        <v>3</v>
      </c>
      <c r="C105" t="s">
        <v>114</v>
      </c>
      <c r="D105" t="s">
        <v>118</v>
      </c>
      <c r="E105" t="s">
        <v>67</v>
      </c>
      <c r="F105" s="3">
        <v>2</v>
      </c>
      <c r="G105" s="3">
        <v>2</v>
      </c>
      <c r="H105" s="4">
        <v>2</v>
      </c>
      <c r="I105" s="4">
        <v>2</v>
      </c>
      <c r="J105" s="2">
        <v>1</v>
      </c>
      <c r="K105" s="2">
        <v>1</v>
      </c>
      <c r="L105" s="6">
        <v>0.85</v>
      </c>
      <c r="M105" s="5">
        <v>8.9</v>
      </c>
      <c r="N105" s="3">
        <v>10</v>
      </c>
      <c r="O105" s="4">
        <f>20*3/5</f>
        <v>12</v>
      </c>
      <c r="P105" s="2">
        <v>0</v>
      </c>
      <c r="Q105" s="6">
        <v>0</v>
      </c>
      <c r="R105" s="5">
        <v>0</v>
      </c>
      <c r="S105" s="6">
        <v>0</v>
      </c>
      <c r="T105" s="5">
        <v>0</v>
      </c>
      <c r="U105">
        <f>VLOOKUP(C105,classOrder,2,FALSE)</f>
        <v>5</v>
      </c>
      <c r="V105" s="7">
        <f>F105+H105+J105</f>
        <v>5</v>
      </c>
      <c r="W105" s="12">
        <f>L105*(firstCardNpBonus+VLOOKUP($W$1, cardNpValue, 2, FALSE)*(1+(N105/100))*(1+(Q105/100)))*G105</f>
        <v>4.5050000000000008</v>
      </c>
      <c r="X105" s="13">
        <f>L105*(firstCardNpBonus+VLOOKUP($X$1, cardNpValue, 2,FALSE)*(1+(O105/100))*(1+(Q105/100)))*I105</f>
        <v>10.268000000000001</v>
      </c>
      <c r="Y105" s="14">
        <f>L105*(firstCardNpBonus+VLOOKUP($Y$1, cardNpValue, 2,FALSE)*(1+(P105/100))*(1+(Q105/100)))*K105</f>
        <v>0.85</v>
      </c>
      <c r="Z105" s="15">
        <f>F105*W105+H105*X105+J105*Y105+S105</f>
        <v>30.396000000000004</v>
      </c>
      <c r="AA105" s="8">
        <f>Z105/maxTotalNpGain</f>
        <v>0.48261353287613601</v>
      </c>
      <c r="AB105" s="12">
        <f>((M105/100)+firstCardStarBonus+VLOOKUP($AB$1, cardStarValue, 2, FALSE)*(1+(N105/100))+(R105/100))*G105</f>
        <v>3.4380000000000006</v>
      </c>
      <c r="AC105" s="13">
        <f>((M105/100)+firstCardStarBonus+VLOOKUP($AC$1, cardStarValue, 2,FALSE )*(1+(O105/100))+(R105/100))*I105</f>
        <v>0.57800000000000007</v>
      </c>
      <c r="AD105" s="14">
        <f>((M105/100)+firstCardStarBonus+VLOOKUP($AD$1, cardStarValue, 2, FALSE)*(1+(P105/100))+(R105/100))*K105</f>
        <v>0.43900000000000006</v>
      </c>
      <c r="AE105" s="11">
        <f>AB105*F105+AC105*H105+AD105*J105+T105</f>
        <v>8.4710000000000019</v>
      </c>
      <c r="AF105" s="9">
        <f>AE105/maxTotalStarGen</f>
        <v>0.2641821300483394</v>
      </c>
      <c r="AG105" s="10">
        <f>(AA105+AF105)/2</f>
        <v>0.37339783146223771</v>
      </c>
      <c r="AH105" t="str">
        <f>CONCATENATE(D105,"|",B105,"|",C105,"|",E105,"|",ROUND(W105,2),"|",ROUND(X105,2),"|",ROUND(Y105,2),"|",ROUND(AB105,2),"|",ROUND(AC105,2),"|",ROUND(AD105,2),"|",ROUND(Z105,2),"|",ROUND(AE105,2),"|",ROUND(AA105*100,2),"%|",ROUND(AF105*100,2),"%|",ROUND(AG105*100,2),"%")</f>
        <v>Boudica|3|Rider|QQAAB|4.51|10.27|0.85|3.44|0.58|0.44|30.4|8.47|48.26%|26.42%|37.34%</v>
      </c>
    </row>
    <row r="106" spans="1:34" x14ac:dyDescent="0.25">
      <c r="A106">
        <v>167</v>
      </c>
      <c r="B106">
        <v>5</v>
      </c>
      <c r="C106" t="s">
        <v>221</v>
      </c>
      <c r="D106" t="s">
        <v>224</v>
      </c>
      <c r="E106" t="s">
        <v>6</v>
      </c>
      <c r="F106" s="3">
        <v>1</v>
      </c>
      <c r="G106" s="3">
        <v>3</v>
      </c>
      <c r="H106" s="4">
        <v>2</v>
      </c>
      <c r="I106" s="4">
        <v>3</v>
      </c>
      <c r="J106" s="2">
        <v>2</v>
      </c>
      <c r="K106" s="2">
        <v>1</v>
      </c>
      <c r="L106" s="6">
        <v>0.55000000000000004</v>
      </c>
      <c r="M106" s="5">
        <v>10</v>
      </c>
      <c r="N106" s="3">
        <v>0</v>
      </c>
      <c r="O106" s="4">
        <v>0</v>
      </c>
      <c r="P106" s="2">
        <v>0</v>
      </c>
      <c r="Q106" s="6">
        <f>50/6</f>
        <v>8.3333333333333339</v>
      </c>
      <c r="R106" s="5">
        <v>0</v>
      </c>
      <c r="S106" s="6">
        <f>50/7</f>
        <v>7.1428571428571432</v>
      </c>
      <c r="T106" s="5">
        <v>0</v>
      </c>
      <c r="U106">
        <f>VLOOKUP(C106,classOrder,2,FALSE)</f>
        <v>12</v>
      </c>
      <c r="V106" s="7">
        <f>F106+H106+J106</f>
        <v>5</v>
      </c>
      <c r="W106" s="12">
        <f>L106*(firstCardNpBonus+VLOOKUP($W$1, cardNpValue, 2, FALSE)*(1+(N106/100))*(1+(Q106/100)))*G106</f>
        <v>4.3312500000000007</v>
      </c>
      <c r="X106" s="13">
        <f>L106*(firstCardNpBonus+VLOOKUP($X$1, cardNpValue, 2,FALSE)*(1+(O106/100))*(1+(Q106/100)))*I106</f>
        <v>9.6937500000000014</v>
      </c>
      <c r="Y106" s="14">
        <f>L106*(firstCardNpBonus+VLOOKUP($Y$1, cardNpValue, 2,FALSE)*(1+(P106/100))*(1+(Q106/100)))*K106</f>
        <v>0.55000000000000004</v>
      </c>
      <c r="Z106" s="15">
        <f>F106*W106+H106*X106+J106*Y106+S106</f>
        <v>31.961607142857147</v>
      </c>
      <c r="AA106" s="8">
        <f>Z106/maxTotalNpGain</f>
        <v>0.50747151400228419</v>
      </c>
      <c r="AB106" s="12">
        <f>((M106/100)+firstCardStarBonus+VLOOKUP($AB$1, cardStarValue, 2, FALSE)*(1+(N106/100))+(R106/100))*G106</f>
        <v>4.8000000000000007</v>
      </c>
      <c r="AC106" s="13">
        <f>((M106/100)+firstCardStarBonus+VLOOKUP($AC$1, cardStarValue, 2,FALSE )*(1+(O106/100))+(R106/100))*I106</f>
        <v>0.90000000000000013</v>
      </c>
      <c r="AD106" s="14">
        <f>((M106/100)+firstCardStarBonus+VLOOKUP($AD$1, cardStarValue, 2, FALSE)*(1+(P106/100))+(R106/100))*K106</f>
        <v>0.45000000000000007</v>
      </c>
      <c r="AE106" s="11">
        <f>AB106*F106+AC106*H106+AD106*J106+T106</f>
        <v>7.5000000000000018</v>
      </c>
      <c r="AF106" s="9">
        <f>AE106/maxTotalStarGen</f>
        <v>0.23389989084671767</v>
      </c>
      <c r="AG106" s="10">
        <f>(AA106+AF106)/2</f>
        <v>0.37068570242450094</v>
      </c>
      <c r="AH106" t="str">
        <f>CONCATENATE(D106,"|",B106,"|",C106,"|",E106,"|",ROUND(W106,2),"|",ROUND(X106,2),"|",ROUND(Y106,2),"|",ROUND(AB106,2),"|",ROUND(AC106,2),"|",ROUND(AD106,2),"|",ROUND(Z106,2),"|",ROUND(AE106,2),"|",ROUND(AA106*100,2),"%|",ROUND(AF106*100,2),"%|",ROUND(AG106*100,2),"%")</f>
        <v>Sessyoin Kiara|5|Alter Ego|QAABB|4.33|9.69|0.55|4.8|0.9|0.45|31.96|7.5|50.75%|23.39%|37.07%</v>
      </c>
    </row>
    <row r="107" spans="1:34" x14ac:dyDescent="0.25">
      <c r="A107">
        <v>153</v>
      </c>
      <c r="B107">
        <v>5</v>
      </c>
      <c r="C107" t="s">
        <v>4</v>
      </c>
      <c r="D107" t="s">
        <v>59</v>
      </c>
      <c r="E107" t="s">
        <v>50</v>
      </c>
      <c r="F107" s="3">
        <v>1</v>
      </c>
      <c r="G107" s="3">
        <v>3</v>
      </c>
      <c r="H107" s="4">
        <v>1</v>
      </c>
      <c r="I107" s="4">
        <v>3</v>
      </c>
      <c r="J107" s="2">
        <v>3</v>
      </c>
      <c r="K107" s="2">
        <v>2</v>
      </c>
      <c r="L107" s="6">
        <v>0.87</v>
      </c>
      <c r="M107" s="5">
        <v>10</v>
      </c>
      <c r="N107" s="3">
        <v>0</v>
      </c>
      <c r="O107" s="4">
        <v>0</v>
      </c>
      <c r="P107" s="2">
        <f>50/5</f>
        <v>10</v>
      </c>
      <c r="Q107" s="6">
        <v>0</v>
      </c>
      <c r="R107" s="5">
        <f>30*3/6</f>
        <v>15</v>
      </c>
      <c r="S107" s="6">
        <v>0</v>
      </c>
      <c r="T107" s="5">
        <v>0</v>
      </c>
      <c r="U107">
        <f>VLOOKUP(C107,classOrder,2,FALSE)</f>
        <v>2</v>
      </c>
      <c r="V107" s="7">
        <f>F107+H107+J107</f>
        <v>5</v>
      </c>
      <c r="W107" s="12">
        <f>L107*(firstCardNpBonus+VLOOKUP($W$1, cardNpValue, 2, FALSE)*(1+(N107/100))*(1+(Q107/100)))*G107</f>
        <v>6.5249999999999995</v>
      </c>
      <c r="X107" s="13">
        <f>L107*(firstCardNpBonus+VLOOKUP($X$1, cardNpValue, 2,FALSE)*(1+(O107/100))*(1+(Q107/100)))*I107</f>
        <v>14.355</v>
      </c>
      <c r="Y107" s="14">
        <f>L107*(firstCardNpBonus+VLOOKUP($Y$1, cardNpValue, 2,FALSE)*(1+(P107/100))*(1+(Q107/100)))*K107</f>
        <v>1.74</v>
      </c>
      <c r="Z107" s="15">
        <f>F107*W107+H107*X107+J107*Y107+S107</f>
        <v>26.099999999999998</v>
      </c>
      <c r="AA107" s="8">
        <f>Z107/maxTotalNpGain</f>
        <v>0.41440364548187747</v>
      </c>
      <c r="AB107" s="12">
        <f>((M107/100)+firstCardStarBonus+VLOOKUP($AB$1, cardStarValue, 2, FALSE)*(1+(N107/100))+(R107/100))*G107</f>
        <v>5.25</v>
      </c>
      <c r="AC107" s="13">
        <f>((M107/100)+firstCardStarBonus+VLOOKUP($AC$1, cardStarValue, 2,FALSE )*(1+(O107/100))+(R107/100))*I107</f>
        <v>1.35</v>
      </c>
      <c r="AD107" s="14">
        <f>((M107/100)+firstCardStarBonus+VLOOKUP($AD$1, cardStarValue, 2, FALSE)*(1+(P107/100))+(R107/100))*K107</f>
        <v>1.2300000000000002</v>
      </c>
      <c r="AE107" s="11">
        <f>AB107*F107+AC107*H107+AD107*J107+T107</f>
        <v>10.29</v>
      </c>
      <c r="AF107" s="9">
        <f>AE107/maxTotalStarGen</f>
        <v>0.32091065024169657</v>
      </c>
      <c r="AG107" s="10">
        <f>(AA107+AF107)/2</f>
        <v>0.36765714786178705</v>
      </c>
      <c r="AH107" t="str">
        <f>CONCATENATE(D107,"|",B107,"|",C107,"|",E107,"|",ROUND(W107,2),"|",ROUND(X107,2),"|",ROUND(Y107,2),"|",ROUND(AB107,2),"|",ROUND(AC107,2),"|",ROUND(AD107,2),"|",ROUND(Z107,2),"|",ROUND(AE107,2),"|",ROUND(AA107*100,2),"%|",ROUND(AF107*100,2),"%|",ROUND(AG107*100,2),"%")</f>
        <v>Miyamoto Musashi|5|Saber|QABBB|6.53|14.36|1.74|5.25|1.35|1.23|26.1|10.29|41.44%|32.09%|36.77%</v>
      </c>
    </row>
    <row r="108" spans="1:34" x14ac:dyDescent="0.25">
      <c r="A108">
        <v>32</v>
      </c>
      <c r="B108">
        <v>3</v>
      </c>
      <c r="C108" t="s">
        <v>133</v>
      </c>
      <c r="D108" t="s">
        <v>135</v>
      </c>
      <c r="E108" t="s">
        <v>64</v>
      </c>
      <c r="F108" s="3">
        <v>1</v>
      </c>
      <c r="G108" s="3">
        <v>2</v>
      </c>
      <c r="H108" s="4">
        <v>3</v>
      </c>
      <c r="I108" s="4">
        <v>1</v>
      </c>
      <c r="J108" s="2">
        <v>1</v>
      </c>
      <c r="K108" s="2">
        <v>1</v>
      </c>
      <c r="L108" s="6">
        <v>1.58</v>
      </c>
      <c r="M108" s="5">
        <v>10.8</v>
      </c>
      <c r="N108" s="3">
        <v>0</v>
      </c>
      <c r="O108" s="4">
        <v>8</v>
      </c>
      <c r="P108" s="2">
        <v>0</v>
      </c>
      <c r="Q108" s="6">
        <v>0</v>
      </c>
      <c r="R108" s="5">
        <v>0</v>
      </c>
      <c r="S108" s="6">
        <v>0</v>
      </c>
      <c r="T108" s="5">
        <v>0</v>
      </c>
      <c r="U108">
        <f>VLOOKUP(C108,classOrder,2,FALSE)</f>
        <v>6</v>
      </c>
      <c r="V108" s="7">
        <f>F108+H108+J108</f>
        <v>5</v>
      </c>
      <c r="W108" s="12">
        <f>L108*(firstCardNpBonus+VLOOKUP($W$1, cardNpValue, 2, FALSE)*(1+(N108/100))*(1+(Q108/100)))*G108</f>
        <v>7.9</v>
      </c>
      <c r="X108" s="13">
        <f>L108*(firstCardNpBonus+VLOOKUP($X$1, cardNpValue, 2,FALSE)*(1+(O108/100))*(1+(Q108/100)))*I108</f>
        <v>9.2588000000000008</v>
      </c>
      <c r="Y108" s="14">
        <f>L108*(firstCardNpBonus+VLOOKUP($Y$1, cardNpValue, 2,FALSE)*(1+(P108/100))*(1+(Q108/100)))*K108</f>
        <v>1.58</v>
      </c>
      <c r="Z108" s="15">
        <f>F108*W108+H108*X108+J108*Y108+S108</f>
        <v>37.256399999999999</v>
      </c>
      <c r="AA108" s="8">
        <f>Z108/maxTotalNpGain</f>
        <v>0.59153976925406204</v>
      </c>
      <c r="AB108" s="12">
        <f>((M108/100)+firstCardStarBonus+VLOOKUP($AB$1, cardStarValue, 2, FALSE)*(1+(N108/100))+(R108/100))*G108</f>
        <v>3.2160000000000002</v>
      </c>
      <c r="AC108" s="13">
        <f>((M108/100)+firstCardStarBonus+VLOOKUP($AC$1, cardStarValue, 2,FALSE )*(1+(O108/100))+(R108/100))*I108</f>
        <v>0.30800000000000005</v>
      </c>
      <c r="AD108" s="14">
        <f>((M108/100)+firstCardStarBonus+VLOOKUP($AD$1, cardStarValue, 2, FALSE)*(1+(P108/100))+(R108/100))*K108</f>
        <v>0.45800000000000007</v>
      </c>
      <c r="AE108" s="11">
        <f>AB108*F108+AC108*H108+AD108*J108+T108</f>
        <v>4.5980000000000008</v>
      </c>
      <c r="AF108" s="9">
        <f>AE108/maxTotalStarGen</f>
        <v>0.14339622641509436</v>
      </c>
      <c r="AG108" s="10">
        <f>(AA108+AF108)/2</f>
        <v>0.36746799783457818</v>
      </c>
      <c r="AH108" t="str">
        <f>CONCATENATE(D108,"|",B108,"|",C108,"|",E108,"|",ROUND(W108,2),"|",ROUND(X108,2),"|",ROUND(Y108,2),"|",ROUND(AB108,2),"|",ROUND(AC108,2),"|",ROUND(AD108,2),"|",ROUND(Z108,2),"|",ROUND(AE108,2),"|",ROUND(AA108*100,2),"%|",ROUND(AF108*100,2),"%|",ROUND(AG108*100,2),"%")</f>
        <v>Gilles de Rais|3|Caster|QAAAB|7.9|9.26|1.58|3.22|0.31|0.46|37.26|4.6|59.15%|14.34%|36.75%</v>
      </c>
    </row>
    <row r="109" spans="1:34" x14ac:dyDescent="0.25">
      <c r="A109">
        <v>14</v>
      </c>
      <c r="B109">
        <v>4</v>
      </c>
      <c r="C109" t="s">
        <v>63</v>
      </c>
      <c r="D109" t="s">
        <v>68</v>
      </c>
      <c r="E109" t="s">
        <v>67</v>
      </c>
      <c r="F109" s="3">
        <v>2</v>
      </c>
      <c r="G109" s="3">
        <v>3</v>
      </c>
      <c r="H109" s="4">
        <v>2</v>
      </c>
      <c r="I109" s="4">
        <v>2</v>
      </c>
      <c r="J109" s="2">
        <v>1</v>
      </c>
      <c r="K109" s="2">
        <v>1</v>
      </c>
      <c r="L109" s="6">
        <v>0.5</v>
      </c>
      <c r="M109" s="5">
        <v>8</v>
      </c>
      <c r="N109" s="3">
        <f>50/5</f>
        <v>10</v>
      </c>
      <c r="O109" s="4">
        <v>0</v>
      </c>
      <c r="P109" s="2">
        <v>0</v>
      </c>
      <c r="Q109" s="6">
        <f>50*3/6</f>
        <v>25</v>
      </c>
      <c r="R109" s="5">
        <v>0</v>
      </c>
      <c r="S109" s="6">
        <v>0</v>
      </c>
      <c r="T109" s="5">
        <v>0</v>
      </c>
      <c r="U109">
        <f>VLOOKUP(C109,classOrder,2,FALSE)</f>
        <v>3</v>
      </c>
      <c r="V109" s="7">
        <f>F109+H109+J109</f>
        <v>5</v>
      </c>
      <c r="W109" s="12">
        <f>L109*(firstCardNpBonus+VLOOKUP($W$1, cardNpValue, 2, FALSE)*(1+(N109/100))*(1+(Q109/100)))*G109</f>
        <v>4.59375</v>
      </c>
      <c r="X109" s="13">
        <f>L109*(firstCardNpBonus+VLOOKUP($X$1, cardNpValue, 2,FALSE)*(1+(O109/100))*(1+(Q109/100)))*I109</f>
        <v>6.625</v>
      </c>
      <c r="Y109" s="14">
        <f>L109*(firstCardNpBonus+VLOOKUP($Y$1, cardNpValue, 2,FALSE)*(1+(P109/100))*(1+(Q109/100)))*K109</f>
        <v>0.5</v>
      </c>
      <c r="Z109" s="15">
        <f>F109*W109+H109*X109+J109*Y109+S109</f>
        <v>22.9375</v>
      </c>
      <c r="AA109" s="8">
        <f>Z109/maxTotalNpGain</f>
        <v>0.36419094322760787</v>
      </c>
      <c r="AB109" s="12">
        <f>((M109/100)+firstCardStarBonus+VLOOKUP($AB$1, cardStarValue, 2, FALSE)*(1+(N109/100))+(R109/100))*G109</f>
        <v>5.1300000000000008</v>
      </c>
      <c r="AC109" s="13">
        <f>((M109/100)+firstCardStarBonus+VLOOKUP($AC$1, cardStarValue, 2,FALSE )*(1+(O109/100))+(R109/100))*I109</f>
        <v>0.56000000000000005</v>
      </c>
      <c r="AD109" s="14">
        <f>((M109/100)+firstCardStarBonus+VLOOKUP($AD$1, cardStarValue, 2, FALSE)*(1+(P109/100))+(R109/100))*K109</f>
        <v>0.43000000000000005</v>
      </c>
      <c r="AE109" s="11">
        <f>AB109*F109+AC109*H109+AD109*J109+T109</f>
        <v>11.810000000000002</v>
      </c>
      <c r="AF109" s="9">
        <f>AE109/maxTotalStarGen</f>
        <v>0.3683143614532981</v>
      </c>
      <c r="AG109" s="10">
        <f>(AA109+AF109)/2</f>
        <v>0.36625265234045301</v>
      </c>
      <c r="AH109" t="str">
        <f>CONCATENATE(D109,"|",B109,"|",C109,"|",E109,"|",ROUND(W109,2),"|",ROUND(X109,2),"|",ROUND(Y109,2),"|",ROUND(AB109,2),"|",ROUND(AC109,2),"|",ROUND(AD109,2),"|",ROUND(Z109,2),"|",ROUND(AE109,2),"|",ROUND(AA109*100,2),"%|",ROUND(AF109*100,2),"%|",ROUND(AG109*100,2),"%")</f>
        <v>Atalanta|4|Archer|QQAAB|4.59|6.63|0.5|5.13|0.56|0.43|22.94|11.81|36.42%|36.83%|36.63%</v>
      </c>
    </row>
    <row r="110" spans="1:34" x14ac:dyDescent="0.25">
      <c r="A110">
        <v>30</v>
      </c>
      <c r="B110">
        <v>4</v>
      </c>
      <c r="C110" t="s">
        <v>114</v>
      </c>
      <c r="D110" t="s">
        <v>122</v>
      </c>
      <c r="E110" t="s">
        <v>64</v>
      </c>
      <c r="F110" s="3">
        <v>1</v>
      </c>
      <c r="G110" s="3">
        <v>2</v>
      </c>
      <c r="H110" s="4">
        <v>3</v>
      </c>
      <c r="I110" s="4">
        <v>1</v>
      </c>
      <c r="J110" s="2">
        <v>1</v>
      </c>
      <c r="K110" s="2">
        <v>1</v>
      </c>
      <c r="L110" s="6">
        <v>1.58</v>
      </c>
      <c r="M110" s="5">
        <v>9</v>
      </c>
      <c r="N110" s="3">
        <v>11.5</v>
      </c>
      <c r="O110" s="4">
        <v>0</v>
      </c>
      <c r="P110" s="2">
        <v>0</v>
      </c>
      <c r="Q110" s="6">
        <v>0</v>
      </c>
      <c r="R110" s="5">
        <v>0</v>
      </c>
      <c r="S110" s="6">
        <v>0</v>
      </c>
      <c r="T110" s="5">
        <v>0</v>
      </c>
      <c r="U110">
        <f>VLOOKUP(C110,classOrder,2,FALSE)</f>
        <v>5</v>
      </c>
      <c r="V110" s="7">
        <f>F110+H110+J110</f>
        <v>5</v>
      </c>
      <c r="W110" s="12">
        <f>L110*(firstCardNpBonus+VLOOKUP($W$1, cardNpValue, 2, FALSE)*(1+(N110/100))*(1+(Q110/100)))*G110</f>
        <v>8.4451000000000001</v>
      </c>
      <c r="X110" s="13">
        <f>L110*(firstCardNpBonus+VLOOKUP($X$1, cardNpValue, 2,FALSE)*(1+(O110/100))*(1+(Q110/100)))*I110</f>
        <v>8.6900000000000013</v>
      </c>
      <c r="Y110" s="14">
        <f>L110*(firstCardNpBonus+VLOOKUP($Y$1, cardNpValue, 2,FALSE)*(1+(P110/100))*(1+(Q110/100)))*K110</f>
        <v>1.58</v>
      </c>
      <c r="Z110" s="15">
        <f>F110*W110+H110*X110+J110*Y110+S110</f>
        <v>36.095100000000002</v>
      </c>
      <c r="AA110" s="8">
        <f>Z110/maxTotalNpGain</f>
        <v>0.57310118866026505</v>
      </c>
      <c r="AB110" s="12">
        <f>((M110/100)+firstCardStarBonus+VLOOKUP($AB$1, cardStarValue, 2, FALSE)*(1+(N110/100))+(R110/100))*G110</f>
        <v>3.4790000000000001</v>
      </c>
      <c r="AC110" s="13">
        <f>((M110/100)+firstCardStarBonus+VLOOKUP($AC$1, cardStarValue, 2,FALSE )*(1+(O110/100))+(R110/100))*I110</f>
        <v>0.29000000000000004</v>
      </c>
      <c r="AD110" s="14">
        <f>((M110/100)+firstCardStarBonus+VLOOKUP($AD$1, cardStarValue, 2, FALSE)*(1+(P110/100))+(R110/100))*K110</f>
        <v>0.44000000000000006</v>
      </c>
      <c r="AE110" s="11">
        <f>AB110*F110+AC110*H110+AD110*J110+T110</f>
        <v>4.7890000000000006</v>
      </c>
      <c r="AF110" s="9">
        <f>AE110/maxTotalStarGen</f>
        <v>0.14935287696865746</v>
      </c>
      <c r="AG110" s="10">
        <f>(AA110+AF110)/2</f>
        <v>0.36122703281446122</v>
      </c>
      <c r="AH110" t="str">
        <f>CONCATENATE(D110,"|",B110,"|",C110,"|",E110,"|",ROUND(W110,2),"|",ROUND(X110,2),"|",ROUND(Y110,2),"|",ROUND(AB110,2),"|",ROUND(AC110,2),"|",ROUND(AD110,2),"|",ROUND(Z110,2),"|",ROUND(AE110,2),"|",ROUND(AA110*100,2),"%|",ROUND(AF110*100,2),"%|",ROUND(AG110*100,2),"%")</f>
        <v>Saint Martha|4|Rider|QAAAB|8.45|8.69|1.58|3.48|0.29|0.44|36.1|4.79|57.31%|14.94%|36.12%</v>
      </c>
    </row>
    <row r="111" spans="1:34" x14ac:dyDescent="0.25">
      <c r="A111">
        <v>98</v>
      </c>
      <c r="B111">
        <v>5</v>
      </c>
      <c r="C111" t="s">
        <v>185</v>
      </c>
      <c r="D111" t="s">
        <v>203</v>
      </c>
      <c r="E111" t="s">
        <v>50</v>
      </c>
      <c r="F111" s="3">
        <v>1</v>
      </c>
      <c r="G111" s="3">
        <v>4</v>
      </c>
      <c r="H111" s="4">
        <v>1</v>
      </c>
      <c r="I111" s="4">
        <v>3</v>
      </c>
      <c r="J111" s="2">
        <v>3</v>
      </c>
      <c r="K111" s="2">
        <v>3</v>
      </c>
      <c r="L111" s="6">
        <v>0.69</v>
      </c>
      <c r="M111" s="5">
        <v>5.0999999999999996</v>
      </c>
      <c r="N111" s="3">
        <v>0</v>
      </c>
      <c r="O111" s="4">
        <v>0</v>
      </c>
      <c r="P111" s="2">
        <v>6</v>
      </c>
      <c r="Q111" s="6">
        <v>0</v>
      </c>
      <c r="R111" s="5">
        <v>0</v>
      </c>
      <c r="S111" s="6">
        <v>0</v>
      </c>
      <c r="T111" s="5">
        <v>0</v>
      </c>
      <c r="U111">
        <f>VLOOKUP(C111,classOrder,2,FALSE)</f>
        <v>8</v>
      </c>
      <c r="V111" s="7">
        <f>F111+H111+J111</f>
        <v>5</v>
      </c>
      <c r="W111" s="12">
        <f>L111*(firstCardNpBonus+VLOOKUP($W$1, cardNpValue, 2, FALSE)*(1+(N111/100))*(1+(Q111/100)))*G111</f>
        <v>6.8999999999999995</v>
      </c>
      <c r="X111" s="13">
        <f>L111*(firstCardNpBonus+VLOOKUP($X$1, cardNpValue, 2,FALSE)*(1+(O111/100))*(1+(Q111/100)))*I111</f>
        <v>11.385</v>
      </c>
      <c r="Y111" s="14">
        <f>L111*(firstCardNpBonus+VLOOKUP($Y$1, cardNpValue, 2,FALSE)*(1+(P111/100))*(1+(Q111/100)))*K111</f>
        <v>2.0699999999999998</v>
      </c>
      <c r="Z111" s="15">
        <f>F111*W111+H111*X111+J111*Y111+S111</f>
        <v>24.494999999999997</v>
      </c>
      <c r="AA111" s="8">
        <f>Z111/maxTotalNpGain</f>
        <v>0.38892020291488844</v>
      </c>
      <c r="AB111" s="12">
        <f>((M111/100)+firstCardStarBonus+VLOOKUP($AB$1, cardStarValue, 2, FALSE)*(1+(N111/100))+(R111/100))*G111</f>
        <v>6.2040000000000006</v>
      </c>
      <c r="AC111" s="13">
        <f>((M111/100)+firstCardStarBonus+VLOOKUP($AC$1, cardStarValue, 2,FALSE )*(1+(O111/100))+(R111/100))*I111</f>
        <v>0.753</v>
      </c>
      <c r="AD111" s="14">
        <f>((M111/100)+firstCardStarBonus+VLOOKUP($AD$1, cardStarValue, 2, FALSE)*(1+(P111/100))+(R111/100))*K111</f>
        <v>1.23</v>
      </c>
      <c r="AE111" s="11">
        <f>AB111*F111+AC111*H111+AD111*J111+T111</f>
        <v>10.647</v>
      </c>
      <c r="AF111" s="9">
        <f>AE111/maxTotalStarGen</f>
        <v>0.33204428504600036</v>
      </c>
      <c r="AG111" s="10">
        <f>(AA111+AF111)/2</f>
        <v>0.36048224398044437</v>
      </c>
      <c r="AH111" t="str">
        <f>CONCATENATE(D111,"|",B111,"|",C111,"|",E111,"|",ROUND(W111,2),"|",ROUND(X111,2),"|",ROUND(Y111,2),"|",ROUND(AB111,2),"|",ROUND(AC111,2),"|",ROUND(AD111,2),"|",ROUND(Z111,2),"|",ROUND(AE111,2),"|",ROUND(AA111*100,2),"%|",ROUND(AF111*100,2),"%|",ROUND(AG111*100,2),"%")</f>
        <v>Cu Chulainn (Alter)|5|Berserker|QABBB|6.9|11.39|2.07|6.2|0.75|1.23|24.5|10.65|38.89%|33.2%|36.05%</v>
      </c>
    </row>
    <row r="112" spans="1:34" x14ac:dyDescent="0.25">
      <c r="A112">
        <v>138</v>
      </c>
      <c r="B112">
        <v>4</v>
      </c>
      <c r="C112" t="s">
        <v>4</v>
      </c>
      <c r="D112" t="s">
        <v>58</v>
      </c>
      <c r="E112" t="s">
        <v>6</v>
      </c>
      <c r="F112" s="3">
        <v>1</v>
      </c>
      <c r="G112" s="3">
        <v>4</v>
      </c>
      <c r="H112" s="4">
        <v>2</v>
      </c>
      <c r="I112" s="4">
        <v>3</v>
      </c>
      <c r="J112" s="2">
        <v>2</v>
      </c>
      <c r="K112" s="2">
        <v>1</v>
      </c>
      <c r="L112" s="6">
        <v>0.55000000000000004</v>
      </c>
      <c r="M112" s="5">
        <v>9.9</v>
      </c>
      <c r="N112" s="3">
        <v>0</v>
      </c>
      <c r="O112" s="4">
        <v>6</v>
      </c>
      <c r="P112" s="2">
        <f>40/5</f>
        <v>8</v>
      </c>
      <c r="Q112" s="6">
        <f>50/6</f>
        <v>8.3333333333333339</v>
      </c>
      <c r="R112" s="5">
        <v>0</v>
      </c>
      <c r="S112" s="6">
        <v>0</v>
      </c>
      <c r="T112" s="5">
        <v>0</v>
      </c>
      <c r="U112">
        <f>VLOOKUP(C112,classOrder,2,FALSE)</f>
        <v>2</v>
      </c>
      <c r="V112" s="7">
        <f>F112+H112+J112</f>
        <v>5</v>
      </c>
      <c r="W112" s="12">
        <f>L112*(firstCardNpBonus+VLOOKUP($W$1, cardNpValue, 2, FALSE)*(1+(N112/100))*(1+(Q112/100)))*G112</f>
        <v>5.7750000000000004</v>
      </c>
      <c r="X112" s="13">
        <f>L112*(firstCardNpBonus+VLOOKUP($X$1, cardNpValue, 2,FALSE)*(1+(O112/100))*(1+(Q112/100)))*I112</f>
        <v>10.176375000000002</v>
      </c>
      <c r="Y112" s="14">
        <f>L112*(firstCardNpBonus+VLOOKUP($Y$1, cardNpValue, 2,FALSE)*(1+(P112/100))*(1+(Q112/100)))*K112</f>
        <v>0.55000000000000004</v>
      </c>
      <c r="Z112" s="15">
        <f>F112*W112+H112*X112+J112*Y112+S112</f>
        <v>27.227750000000007</v>
      </c>
      <c r="AA112" s="8">
        <f>Z112/maxTotalNpGain</f>
        <v>0.43230953479958595</v>
      </c>
      <c r="AB112" s="12">
        <f>((M112/100)+firstCardStarBonus+VLOOKUP($AB$1, cardStarValue, 2, FALSE)*(1+(N112/100))+(R112/100))*G112</f>
        <v>6.3960000000000008</v>
      </c>
      <c r="AC112" s="13">
        <f>((M112/100)+firstCardStarBonus+VLOOKUP($AC$1, cardStarValue, 2,FALSE )*(1+(O112/100))+(R112/100))*I112</f>
        <v>0.89700000000000013</v>
      </c>
      <c r="AD112" s="14">
        <f>((M112/100)+firstCardStarBonus+VLOOKUP($AD$1, cardStarValue, 2, FALSE)*(1+(P112/100))+(R112/100))*K112</f>
        <v>0.46100000000000008</v>
      </c>
      <c r="AE112" s="11">
        <f>AB112*F112+AC112*H112+AD112*J112+T112</f>
        <v>9.1120000000000019</v>
      </c>
      <c r="AF112" s="9">
        <f>AE112/maxTotalStarGen</f>
        <v>0.28417277405270552</v>
      </c>
      <c r="AG112" s="10">
        <f>(AA112+AF112)/2</f>
        <v>0.35824115442614574</v>
      </c>
      <c r="AH112" t="str">
        <f>CONCATENATE(D112,"|",B112,"|",C112,"|",E112,"|",ROUND(W112,2),"|",ROUND(X112,2),"|",ROUND(Y112,2),"|",ROUND(AB112,2),"|",ROUND(AC112,2),"|",ROUND(AD112,2),"|",ROUND(Z112,2),"|",ROUND(AE112,2),"|",ROUND(AA112*100,2),"%|",ROUND(AF112*100,2),"%|",ROUND(AG112*100,2),"%")</f>
        <v>Elizabeth Bathory (Brave)|4|Saber|QAABB|5.78|10.18|0.55|6.4|0.9|0.46|27.23|9.11|43.23%|28.42%|35.82%</v>
      </c>
    </row>
    <row r="113" spans="1:34" x14ac:dyDescent="0.25">
      <c r="A113">
        <v>79</v>
      </c>
      <c r="B113">
        <v>3</v>
      </c>
      <c r="C113" t="s">
        <v>133</v>
      </c>
      <c r="D113" t="s">
        <v>146</v>
      </c>
      <c r="E113" t="s">
        <v>64</v>
      </c>
      <c r="F113" s="3">
        <v>1</v>
      </c>
      <c r="G113" s="3">
        <v>2</v>
      </c>
      <c r="H113" s="4">
        <v>3</v>
      </c>
      <c r="I113" s="4">
        <v>2</v>
      </c>
      <c r="J113" s="2">
        <v>1</v>
      </c>
      <c r="K113" s="2">
        <v>1</v>
      </c>
      <c r="L113" s="6">
        <v>0.55000000000000004</v>
      </c>
      <c r="M113" s="5">
        <v>10.8</v>
      </c>
      <c r="N113" s="3">
        <v>0</v>
      </c>
      <c r="O113" s="4">
        <f>10+20*3/7</f>
        <v>18.571428571428569</v>
      </c>
      <c r="P113" s="2">
        <v>0</v>
      </c>
      <c r="Q113" s="6">
        <v>0</v>
      </c>
      <c r="R113" s="5">
        <v>0</v>
      </c>
      <c r="S113" s="6">
        <f>80/8</f>
        <v>10</v>
      </c>
      <c r="T113" s="5">
        <v>0</v>
      </c>
      <c r="U113">
        <f>VLOOKUP(C113,classOrder,2,FALSE)</f>
        <v>6</v>
      </c>
      <c r="V113" s="7">
        <f>F113+H113+J113</f>
        <v>5</v>
      </c>
      <c r="W113" s="12">
        <f>L113*(firstCardNpBonus+VLOOKUP($W$1, cardNpValue, 2, FALSE)*(1+(N113/100))*(1+(Q113/100)))*G113</f>
        <v>2.75</v>
      </c>
      <c r="X113" s="13">
        <f>L113*(firstCardNpBonus+VLOOKUP($X$1, cardNpValue, 2,FALSE)*(1+(O113/100))*(1+(Q113/100)))*I113</f>
        <v>6.9692857142857143</v>
      </c>
      <c r="Y113" s="14">
        <f>L113*(firstCardNpBonus+VLOOKUP($Y$1, cardNpValue, 2,FALSE)*(1+(P113/100))*(1+(Q113/100)))*K113</f>
        <v>0.55000000000000004</v>
      </c>
      <c r="Z113" s="15">
        <f>F113*W113+H113*X113+J113*Y113+S113</f>
        <v>34.207857142857144</v>
      </c>
      <c r="AA113" s="8">
        <f>Z113/maxTotalNpGain</f>
        <v>0.54313642544533647</v>
      </c>
      <c r="AB113" s="12">
        <f>((M113/100)+firstCardStarBonus+VLOOKUP($AB$1, cardStarValue, 2, FALSE)*(1+(N113/100))+(R113/100))*G113</f>
        <v>3.2160000000000002</v>
      </c>
      <c r="AC113" s="13">
        <f>((M113/100)+firstCardStarBonus+VLOOKUP($AC$1, cardStarValue, 2,FALSE )*(1+(O113/100))+(R113/100))*I113</f>
        <v>0.6160000000000001</v>
      </c>
      <c r="AD113" s="14">
        <f>((M113/100)+firstCardStarBonus+VLOOKUP($AD$1, cardStarValue, 2, FALSE)*(1+(P113/100))+(R113/100))*K113</f>
        <v>0.45800000000000007</v>
      </c>
      <c r="AE113" s="11">
        <f>AB113*F113+AC113*H113+AD113*J113+T113</f>
        <v>5.5220000000000002</v>
      </c>
      <c r="AF113" s="9">
        <f>AE113/maxTotalStarGen</f>
        <v>0.17221269296740996</v>
      </c>
      <c r="AG113" s="10">
        <f>(AA113+AF113)/2</f>
        <v>0.3576745592063732</v>
      </c>
      <c r="AH113" t="str">
        <f>CONCATENATE(D113,"|",B113,"|",C113,"|",E113,"|",ROUND(W113,2),"|",ROUND(X113,2),"|",ROUND(Y113,2),"|",ROUND(AB113,2),"|",ROUND(AC113,2),"|",ROUND(AD113,2),"|",ROUND(Z113,2),"|",ROUND(AE113,2),"|",ROUND(AA113*100,2),"%|",ROUND(AF113*100,2),"%|",ROUND(AG113*100,2),"%")</f>
        <v>Paracelsus Van Hohenheim|3|Caster|QAAAB|2.75|6.97|0.55|3.22|0.62|0.46|34.21|5.52|54.31%|17.22%|35.77%</v>
      </c>
    </row>
    <row r="114" spans="1:34" x14ac:dyDescent="0.25">
      <c r="A114">
        <v>73</v>
      </c>
      <c r="B114">
        <v>4</v>
      </c>
      <c r="C114" t="s">
        <v>114</v>
      </c>
      <c r="D114" t="s">
        <v>125</v>
      </c>
      <c r="E114" t="s">
        <v>6</v>
      </c>
      <c r="F114" s="3">
        <v>1</v>
      </c>
      <c r="G114" s="3">
        <v>2</v>
      </c>
      <c r="H114" s="4">
        <v>2</v>
      </c>
      <c r="I114" s="4">
        <v>2</v>
      </c>
      <c r="J114" s="2">
        <v>2</v>
      </c>
      <c r="K114" s="2">
        <v>1</v>
      </c>
      <c r="L114" s="6">
        <v>0.87</v>
      </c>
      <c r="M114" s="5">
        <v>8.9</v>
      </c>
      <c r="N114" s="3">
        <v>10</v>
      </c>
      <c r="O114" s="4">
        <v>0</v>
      </c>
      <c r="P114" s="2">
        <f>45/5</f>
        <v>9</v>
      </c>
      <c r="Q114" s="6">
        <v>0</v>
      </c>
      <c r="R114" s="5">
        <f>30*3/5</f>
        <v>18</v>
      </c>
      <c r="S114" s="6">
        <v>0</v>
      </c>
      <c r="T114" s="5">
        <f>15/5</f>
        <v>3</v>
      </c>
      <c r="U114">
        <f>VLOOKUP(C114,classOrder,2,FALSE)</f>
        <v>5</v>
      </c>
      <c r="V114" s="7">
        <f>F114+H114+J114</f>
        <v>5</v>
      </c>
      <c r="W114" s="12">
        <f>L114*(firstCardNpBonus+VLOOKUP($W$1, cardNpValue, 2, FALSE)*(1+(N114/100))*(1+(Q114/100)))*G114</f>
        <v>4.6110000000000007</v>
      </c>
      <c r="X114" s="13">
        <f>L114*(firstCardNpBonus+VLOOKUP($X$1, cardNpValue, 2,FALSE)*(1+(O114/100))*(1+(Q114/100)))*I114</f>
        <v>9.57</v>
      </c>
      <c r="Y114" s="14">
        <f>L114*(firstCardNpBonus+VLOOKUP($Y$1, cardNpValue, 2,FALSE)*(1+(P114/100))*(1+(Q114/100)))*K114</f>
        <v>0.87</v>
      </c>
      <c r="Z114" s="15">
        <f>F114*W114+H114*X114+J114*Y114+S114</f>
        <v>25.491</v>
      </c>
      <c r="AA114" s="8">
        <f>Z114/maxTotalNpGain</f>
        <v>0.40473422708730034</v>
      </c>
      <c r="AB114" s="12">
        <f>((M114/100)+firstCardStarBonus+VLOOKUP($AB$1, cardStarValue, 2, FALSE)*(1+(N114/100))+(R114/100))*G114</f>
        <v>3.7980000000000005</v>
      </c>
      <c r="AC114" s="13">
        <f>((M114/100)+firstCardStarBonus+VLOOKUP($AC$1, cardStarValue, 2,FALSE )*(1+(O114/100))+(R114/100))*I114</f>
        <v>0.93800000000000006</v>
      </c>
      <c r="AD114" s="14">
        <f>((M114/100)+firstCardStarBonus+VLOOKUP($AD$1, cardStarValue, 2, FALSE)*(1+(P114/100))+(R114/100))*K114</f>
        <v>0.63250000000000006</v>
      </c>
      <c r="AE114" s="11">
        <f>AB114*F114+AC114*H114+AD114*J114+T114</f>
        <v>9.9390000000000001</v>
      </c>
      <c r="AF114" s="9">
        <f>AE114/maxTotalStarGen</f>
        <v>0.30996413535007017</v>
      </c>
      <c r="AG114" s="10">
        <f>(AA114+AF114)/2</f>
        <v>0.35734918121868525</v>
      </c>
      <c r="AH114" t="str">
        <f>CONCATENATE(D114,"|",B114,"|",C114,"|",E114,"|",ROUND(W114,2),"|",ROUND(X114,2),"|",ROUND(Y114,2),"|",ROUND(AB114,2),"|",ROUND(AC114,2),"|",ROUND(AD114,2),"|",ROUND(Z114,2),"|",ROUND(AE114,2),"|",ROUND(AA114*100,2),"%|",ROUND(AF114*100,2),"%|",ROUND(AG114*100,2),"%")</f>
        <v>Artoria Pendragon (Santa Alter)|4|Rider|QAABB|4.61|9.57|0.87|3.8|0.94|0.63|25.49|9.94|40.47%|31%|35.73%</v>
      </c>
    </row>
    <row r="115" spans="1:34" x14ac:dyDescent="0.25">
      <c r="A115">
        <v>131</v>
      </c>
      <c r="B115">
        <v>3</v>
      </c>
      <c r="C115" t="s">
        <v>63</v>
      </c>
      <c r="D115" t="s">
        <v>82</v>
      </c>
      <c r="E115" t="s">
        <v>6</v>
      </c>
      <c r="F115" s="3">
        <v>1</v>
      </c>
      <c r="G115" s="3">
        <v>3</v>
      </c>
      <c r="H115" s="4">
        <v>2</v>
      </c>
      <c r="I115" s="4">
        <v>2</v>
      </c>
      <c r="J115" s="2">
        <v>2</v>
      </c>
      <c r="K115" s="2">
        <v>1</v>
      </c>
      <c r="L115" s="6">
        <v>0.85</v>
      </c>
      <c r="M115" s="5">
        <v>8.1</v>
      </c>
      <c r="N115" s="3">
        <v>0</v>
      </c>
      <c r="O115" s="4">
        <v>0</v>
      </c>
      <c r="P115" s="2">
        <v>0</v>
      </c>
      <c r="Q115" s="6">
        <v>0</v>
      </c>
      <c r="R115" s="5">
        <v>0</v>
      </c>
      <c r="S115" s="6">
        <v>0</v>
      </c>
      <c r="T115" s="5">
        <f>15/6</f>
        <v>2.5</v>
      </c>
      <c r="U115">
        <f>VLOOKUP(C115,classOrder,2,FALSE)</f>
        <v>3</v>
      </c>
      <c r="V115" s="7">
        <f>F115+H115+J115</f>
        <v>5</v>
      </c>
      <c r="W115" s="12">
        <f>L115*(firstCardNpBonus+VLOOKUP($W$1, cardNpValue, 2, FALSE)*(1+(N115/100))*(1+(Q115/100)))*G115</f>
        <v>6.375</v>
      </c>
      <c r="X115" s="13">
        <f>L115*(firstCardNpBonus+VLOOKUP($X$1, cardNpValue, 2,FALSE)*(1+(O115/100))*(1+(Q115/100)))*I115</f>
        <v>9.35</v>
      </c>
      <c r="Y115" s="14">
        <f>L115*(firstCardNpBonus+VLOOKUP($Y$1, cardNpValue, 2,FALSE)*(1+(P115/100))*(1+(Q115/100)))*K115</f>
        <v>0.85</v>
      </c>
      <c r="Z115" s="15">
        <f>F115*W115+H115*X115+J115*Y115+S115</f>
        <v>26.774999999999999</v>
      </c>
      <c r="AA115" s="8">
        <f>Z115/maxTotalNpGain</f>
        <v>0.42512098114089153</v>
      </c>
      <c r="AB115" s="12">
        <f>((M115/100)+firstCardStarBonus+VLOOKUP($AB$1, cardStarValue, 2, FALSE)*(1+(N115/100))+(R115/100))*G115</f>
        <v>4.7430000000000003</v>
      </c>
      <c r="AC115" s="13">
        <f>((M115/100)+firstCardStarBonus+VLOOKUP($AC$1, cardStarValue, 2,FALSE )*(1+(O115/100))+(R115/100))*I115</f>
        <v>0.56200000000000006</v>
      </c>
      <c r="AD115" s="14">
        <f>((M115/100)+firstCardStarBonus+VLOOKUP($AD$1, cardStarValue, 2, FALSE)*(1+(P115/100))+(R115/100))*K115</f>
        <v>0.43100000000000005</v>
      </c>
      <c r="AE115" s="11">
        <f>AB115*F115+AC115*H115+AD115*J115+T115</f>
        <v>9.229000000000001</v>
      </c>
      <c r="AF115" s="9">
        <f>AE115/maxTotalStarGen</f>
        <v>0.28782161234991427</v>
      </c>
      <c r="AG115" s="10">
        <f>(AA115+AF115)/2</f>
        <v>0.3564712967454029</v>
      </c>
      <c r="AH115" t="str">
        <f>CONCATENATE(D115,"|",B115,"|",C115,"|",E115,"|",ROUND(W115,2),"|",ROUND(X115,2),"|",ROUND(Y115,2),"|",ROUND(AB115,2),"|",ROUND(AC115,2),"|",ROUND(AD115,2),"|",ROUND(Z115,2),"|",ROUND(AE115,2),"|",ROUND(AA115*100,2),"%|",ROUND(AF115*100,2),"%|",ROUND(AG115*100,2),"%")</f>
        <v>Anne Bonny &amp; Mary Read (Archer)|3|Archer|QAABB|6.38|9.35|0.85|4.74|0.56|0.43|26.78|9.23|42.51%|28.78%|35.65%</v>
      </c>
    </row>
    <row r="116" spans="1:34" x14ac:dyDescent="0.25">
      <c r="A116">
        <v>24</v>
      </c>
      <c r="B116">
        <v>2</v>
      </c>
      <c r="C116" t="s">
        <v>114</v>
      </c>
      <c r="D116" t="s">
        <v>116</v>
      </c>
      <c r="E116" t="s">
        <v>67</v>
      </c>
      <c r="F116" s="3">
        <v>2</v>
      </c>
      <c r="G116" s="3">
        <v>2</v>
      </c>
      <c r="H116" s="4">
        <v>2</v>
      </c>
      <c r="I116" s="4">
        <v>2</v>
      </c>
      <c r="J116" s="2">
        <v>1</v>
      </c>
      <c r="K116" s="2">
        <v>1</v>
      </c>
      <c r="L116" s="6">
        <v>0.85</v>
      </c>
      <c r="M116" s="5">
        <v>8.9</v>
      </c>
      <c r="N116" s="3">
        <v>8</v>
      </c>
      <c r="O116" s="4">
        <v>0</v>
      </c>
      <c r="P116" s="2">
        <v>0</v>
      </c>
      <c r="Q116" s="6">
        <v>0</v>
      </c>
      <c r="R116" s="5">
        <v>0</v>
      </c>
      <c r="S116" s="6">
        <v>0</v>
      </c>
      <c r="T116" s="5">
        <v>0</v>
      </c>
      <c r="U116">
        <f>VLOOKUP(C116,classOrder,2,FALSE)</f>
        <v>5</v>
      </c>
      <c r="V116" s="7">
        <f>F116+H116+J116</f>
        <v>5</v>
      </c>
      <c r="W116" s="12">
        <f>L116*(firstCardNpBonus+VLOOKUP($W$1, cardNpValue, 2, FALSE)*(1+(N116/100))*(1+(Q116/100)))*G116</f>
        <v>4.4539999999999997</v>
      </c>
      <c r="X116" s="13">
        <f>L116*(firstCardNpBonus+VLOOKUP($X$1, cardNpValue, 2,FALSE)*(1+(O116/100))*(1+(Q116/100)))*I116</f>
        <v>9.35</v>
      </c>
      <c r="Y116" s="14">
        <f>L116*(firstCardNpBonus+VLOOKUP($Y$1, cardNpValue, 2,FALSE)*(1+(P116/100))*(1+(Q116/100)))*K116</f>
        <v>0.85</v>
      </c>
      <c r="Z116" s="15">
        <f>F116*W116+H116*X116+J116*Y116+S116</f>
        <v>28.457999999999998</v>
      </c>
      <c r="AA116" s="8">
        <f>Z116/maxTotalNpGain</f>
        <v>0.45184287138403328</v>
      </c>
      <c r="AB116" s="12">
        <f>((M116/100)+firstCardStarBonus+VLOOKUP($AB$1, cardStarValue, 2, FALSE)*(1+(N116/100))+(R116/100))*G116</f>
        <v>3.3860000000000001</v>
      </c>
      <c r="AC116" s="13">
        <f>((M116/100)+firstCardStarBonus+VLOOKUP($AC$1, cardStarValue, 2,FALSE )*(1+(O116/100))+(R116/100))*I116</f>
        <v>0.57800000000000007</v>
      </c>
      <c r="AD116" s="14">
        <f>((M116/100)+firstCardStarBonus+VLOOKUP($AD$1, cardStarValue, 2, FALSE)*(1+(P116/100))+(R116/100))*K116</f>
        <v>0.43900000000000006</v>
      </c>
      <c r="AE116" s="11">
        <f>AB116*F116+AC116*H116+AD116*J116+T116</f>
        <v>8.3670000000000009</v>
      </c>
      <c r="AF116" s="9">
        <f>AE116/maxTotalStarGen</f>
        <v>0.26093871822859821</v>
      </c>
      <c r="AG116" s="10">
        <f>(AA116+AF116)/2</f>
        <v>0.35639079480631575</v>
      </c>
      <c r="AH116" t="str">
        <f>CONCATENATE(D116,"|",B116,"|",C116,"|",E116,"|",ROUND(W116,2),"|",ROUND(X116,2),"|",ROUND(Y116,2),"|",ROUND(AB116,2),"|",ROUND(AC116,2),"|",ROUND(AD116,2),"|",ROUND(Z116,2),"|",ROUND(AE116,2),"|",ROUND(AA116*100,2),"%|",ROUND(AF116*100,2),"%|",ROUND(AG116*100,2),"%")</f>
        <v>Saint George|2|Rider|QQAAB|4.45|9.35|0.85|3.39|0.58|0.44|28.46|8.37|45.18%|26.09%|35.64%</v>
      </c>
    </row>
    <row r="117" spans="1:34" x14ac:dyDescent="0.25">
      <c r="A117">
        <v>99</v>
      </c>
      <c r="B117">
        <v>5</v>
      </c>
      <c r="C117" t="s">
        <v>114</v>
      </c>
      <c r="D117" t="s">
        <v>127</v>
      </c>
      <c r="E117" t="s">
        <v>6</v>
      </c>
      <c r="F117" s="3">
        <v>1</v>
      </c>
      <c r="G117" s="3">
        <v>3</v>
      </c>
      <c r="H117" s="4">
        <v>2</v>
      </c>
      <c r="I117" s="4">
        <v>2</v>
      </c>
      <c r="J117" s="2">
        <v>2</v>
      </c>
      <c r="K117" s="2">
        <v>1</v>
      </c>
      <c r="L117" s="6">
        <v>0.8</v>
      </c>
      <c r="M117" s="5">
        <v>9</v>
      </c>
      <c r="N117" s="3">
        <v>10</v>
      </c>
      <c r="O117" s="4">
        <v>0</v>
      </c>
      <c r="P117" s="2">
        <v>0</v>
      </c>
      <c r="Q117" s="6">
        <v>0</v>
      </c>
      <c r="R117" s="5">
        <v>0</v>
      </c>
      <c r="S117" s="6">
        <f>10*3/6</f>
        <v>5</v>
      </c>
      <c r="T117" s="5">
        <v>0</v>
      </c>
      <c r="U117">
        <f>VLOOKUP(C117,classOrder,2,FALSE)</f>
        <v>5</v>
      </c>
      <c r="V117" s="7">
        <f>F117+H117+J117</f>
        <v>5</v>
      </c>
      <c r="W117" s="12">
        <f>L117*(firstCardNpBonus+VLOOKUP($W$1, cardNpValue, 2, FALSE)*(1+(N117/100))*(1+(Q117/100)))*G117</f>
        <v>6.3600000000000012</v>
      </c>
      <c r="X117" s="13">
        <f>L117*(firstCardNpBonus+VLOOKUP($X$1, cardNpValue, 2,FALSE)*(1+(O117/100))*(1+(Q117/100)))*I117</f>
        <v>8.8000000000000007</v>
      </c>
      <c r="Y117" s="14">
        <f>L117*(firstCardNpBonus+VLOOKUP($Y$1, cardNpValue, 2,FALSE)*(1+(P117/100))*(1+(Q117/100)))*K117</f>
        <v>0.8</v>
      </c>
      <c r="Z117" s="15">
        <f>F117*W117+H117*X117+J117*Y117+S117</f>
        <v>30.560000000000002</v>
      </c>
      <c r="AA117" s="8">
        <f>Z117/maxTotalNpGain</f>
        <v>0.48521744850291865</v>
      </c>
      <c r="AB117" s="12">
        <f>((M117/100)+firstCardStarBonus+VLOOKUP($AB$1, cardStarValue, 2, FALSE)*(1+(N117/100))+(R117/100))*G117</f>
        <v>5.16</v>
      </c>
      <c r="AC117" s="13">
        <f>((M117/100)+firstCardStarBonus+VLOOKUP($AC$1, cardStarValue, 2,FALSE )*(1+(O117/100))+(R117/100))*I117</f>
        <v>0.58000000000000007</v>
      </c>
      <c r="AD117" s="14">
        <f>((M117/100)+firstCardStarBonus+VLOOKUP($AD$1, cardStarValue, 2, FALSE)*(1+(P117/100))+(R117/100))*K117</f>
        <v>0.44000000000000006</v>
      </c>
      <c r="AE117" s="11">
        <f>AB117*F117+AC117*H117+AD117*J117+T117</f>
        <v>7.2</v>
      </c>
      <c r="AF117" s="9">
        <f>AE117/maxTotalStarGen</f>
        <v>0.22454389521284893</v>
      </c>
      <c r="AG117" s="10">
        <f>(AA117+AF117)/2</f>
        <v>0.3548806718578838</v>
      </c>
      <c r="AH117" t="str">
        <f>CONCATENATE(D117,"|",B117,"|",C117,"|",E117,"|",ROUND(W117,2),"|",ROUND(X117,2),"|",ROUND(Y117,2),"|",ROUND(AB117,2),"|",ROUND(AC117,2),"|",ROUND(AD117,2),"|",ROUND(Z117,2),"|",ROUND(AE117,2),"|",ROUND(AA117*100,2),"%|",ROUND(AF117*100,2),"%|",ROUND(AG117*100,2),"%")</f>
        <v>Medb|5|Rider|QAABB|6.36|8.8|0.8|5.16|0.58|0.44|30.56|7.2|48.52%|22.45%|35.49%</v>
      </c>
    </row>
    <row r="118" spans="1:34" x14ac:dyDescent="0.25">
      <c r="A118">
        <v>135</v>
      </c>
      <c r="B118">
        <v>4</v>
      </c>
      <c r="C118" t="s">
        <v>209</v>
      </c>
      <c r="D118" t="s">
        <v>212</v>
      </c>
      <c r="E118" t="s">
        <v>50</v>
      </c>
      <c r="F118" s="3">
        <v>1</v>
      </c>
      <c r="G118" s="3">
        <v>4</v>
      </c>
      <c r="H118" s="4">
        <v>1</v>
      </c>
      <c r="I118" s="4">
        <v>3</v>
      </c>
      <c r="J118" s="2">
        <v>3</v>
      </c>
      <c r="K118" s="2">
        <v>1</v>
      </c>
      <c r="L118" s="6">
        <v>0.76</v>
      </c>
      <c r="M118" s="5">
        <v>10</v>
      </c>
      <c r="N118" s="3">
        <v>0</v>
      </c>
      <c r="O118" s="4">
        <v>0</v>
      </c>
      <c r="P118" s="2">
        <v>0</v>
      </c>
      <c r="Q118" s="6">
        <v>0</v>
      </c>
      <c r="R118" s="5">
        <v>0</v>
      </c>
      <c r="S118" s="6">
        <f>30/6</f>
        <v>5</v>
      </c>
      <c r="T118" s="5">
        <v>0</v>
      </c>
      <c r="U118">
        <f>VLOOKUP(C118,classOrder,2,FALSE)</f>
        <v>9</v>
      </c>
      <c r="V118" s="7">
        <f>F118+H118+J118</f>
        <v>5</v>
      </c>
      <c r="W118" s="12">
        <f>L118*(firstCardNpBonus+VLOOKUP($W$1, cardNpValue, 2, FALSE)*(1+(N118/100))*(1+(Q118/100)))*G118</f>
        <v>7.6</v>
      </c>
      <c r="X118" s="13">
        <f>L118*(firstCardNpBonus+VLOOKUP($X$1, cardNpValue, 2,FALSE)*(1+(O118/100))*(1+(Q118/100)))*I118</f>
        <v>12.54</v>
      </c>
      <c r="Y118" s="14">
        <f>L118*(firstCardNpBonus+VLOOKUP($Y$1, cardNpValue, 2,FALSE)*(1+(P118/100))*(1+(Q118/100)))*K118</f>
        <v>0.76</v>
      </c>
      <c r="Z118" s="15">
        <f>F118*W118+H118*X118+J118*Y118+S118</f>
        <v>27.42</v>
      </c>
      <c r="AA118" s="8">
        <f>Z118/maxTotalNpGain</f>
        <v>0.43536199077061616</v>
      </c>
      <c r="AB118" s="12">
        <f>((M118/100)+firstCardStarBonus+VLOOKUP($AB$1, cardStarValue, 2, FALSE)*(1+(N118/100))+(R118/100))*G118</f>
        <v>6.4</v>
      </c>
      <c r="AC118" s="13">
        <f>((M118/100)+firstCardStarBonus+VLOOKUP($AC$1, cardStarValue, 2,FALSE )*(1+(O118/100))+(R118/100))*I118</f>
        <v>0.90000000000000013</v>
      </c>
      <c r="AD118" s="14">
        <f>((M118/100)+firstCardStarBonus+VLOOKUP($AD$1, cardStarValue, 2, FALSE)*(1+(P118/100))+(R118/100))*K118</f>
        <v>0.45000000000000007</v>
      </c>
      <c r="AE118" s="11">
        <f>AB118*F118+AC118*H118+AD118*J118+T118</f>
        <v>8.65</v>
      </c>
      <c r="AF118" s="9">
        <f>AE118/maxTotalStarGen</f>
        <v>0.26976454077654766</v>
      </c>
      <c r="AG118" s="10">
        <f>(AA118+AF118)/2</f>
        <v>0.35256326577358188</v>
      </c>
      <c r="AH118" t="str">
        <f>CONCATENATE(D118,"|",B118,"|",C118,"|",E118,"|",ROUND(W118,2),"|",ROUND(X118,2),"|",ROUND(Y118,2),"|",ROUND(AB118,2),"|",ROUND(AC118,2),"|",ROUND(AD118,2),"|",ROUND(Z118,2),"|",ROUND(AE118,2),"|",ROUND(AA118*100,2),"%|",ROUND(AF118*100,2),"%|",ROUND(AG118*100,2),"%")</f>
        <v>Saint Martha (Ruler)|4|Ruler|QABBB|7.6|12.54|0.76|6.4|0.9|0.45|27.42|8.65|43.54%|26.98%|35.26%</v>
      </c>
    </row>
    <row r="119" spans="1:34" x14ac:dyDescent="0.25">
      <c r="A119">
        <v>69</v>
      </c>
      <c r="B119">
        <v>4</v>
      </c>
      <c r="C119" t="s">
        <v>63</v>
      </c>
      <c r="D119" t="s">
        <v>73</v>
      </c>
      <c r="E119" t="s">
        <v>6</v>
      </c>
      <c r="F119" s="3">
        <v>1</v>
      </c>
      <c r="G119" s="3">
        <v>2</v>
      </c>
      <c r="H119" s="4">
        <v>2</v>
      </c>
      <c r="I119" s="4">
        <v>4</v>
      </c>
      <c r="J119" s="2">
        <v>2</v>
      </c>
      <c r="K119" s="2">
        <v>4</v>
      </c>
      <c r="L119" s="6">
        <v>0.43</v>
      </c>
      <c r="M119" s="5">
        <v>7.9</v>
      </c>
      <c r="N119" s="3">
        <v>0</v>
      </c>
      <c r="O119" s="4">
        <v>0</v>
      </c>
      <c r="P119" s="2">
        <v>0</v>
      </c>
      <c r="Q119" s="6">
        <f>30*3/6</f>
        <v>15</v>
      </c>
      <c r="R119" s="5">
        <v>0</v>
      </c>
      <c r="S119" s="6">
        <v>0</v>
      </c>
      <c r="T119" s="5">
        <v>0</v>
      </c>
      <c r="U119">
        <f>VLOOKUP(C119,classOrder,2,FALSE)</f>
        <v>3</v>
      </c>
      <c r="V119" s="7">
        <f>F119+H119+J119</f>
        <v>5</v>
      </c>
      <c r="W119" s="12">
        <f>L119*(firstCardNpBonus+VLOOKUP($W$1, cardNpValue, 2, FALSE)*(1+(N119/100))*(1+(Q119/100)))*G119</f>
        <v>2.3434999999999997</v>
      </c>
      <c r="X119" s="13">
        <f>L119*(firstCardNpBonus+VLOOKUP($X$1, cardNpValue, 2,FALSE)*(1+(O119/100))*(1+(Q119/100)))*I119</f>
        <v>10.620999999999999</v>
      </c>
      <c r="Y119" s="14">
        <f>L119*(firstCardNpBonus+VLOOKUP($Y$1, cardNpValue, 2,FALSE)*(1+(P119/100))*(1+(Q119/100)))*K119</f>
        <v>1.72</v>
      </c>
      <c r="Z119" s="15">
        <f>F119*W119+H119*X119+J119*Y119+S119</f>
        <v>27.025499999999997</v>
      </c>
      <c r="AA119" s="8">
        <f>Z119/maxTotalNpGain</f>
        <v>0.42909830348545897</v>
      </c>
      <c r="AB119" s="12">
        <f>((M119/100)+firstCardStarBonus+VLOOKUP($AB$1, cardStarValue, 2, FALSE)*(1+(N119/100))+(R119/100))*G119</f>
        <v>3.1580000000000004</v>
      </c>
      <c r="AC119" s="13">
        <f>((M119/100)+firstCardStarBonus+VLOOKUP($AC$1, cardStarValue, 2,FALSE )*(1+(O119/100))+(R119/100))*I119</f>
        <v>1.1160000000000001</v>
      </c>
      <c r="AD119" s="14">
        <f>((M119/100)+firstCardStarBonus+VLOOKUP($AD$1, cardStarValue, 2, FALSE)*(1+(P119/100))+(R119/100))*K119</f>
        <v>1.7160000000000002</v>
      </c>
      <c r="AE119" s="11">
        <f>AB119*F119+AC119*H119+AD119*J119+T119</f>
        <v>8.822000000000001</v>
      </c>
      <c r="AF119" s="9">
        <f>AE119/maxTotalStarGen</f>
        <v>0.27512864493996575</v>
      </c>
      <c r="AG119" s="10">
        <f>(AA119+AF119)/2</f>
        <v>0.35211347421271233</v>
      </c>
      <c r="AH119" t="str">
        <f>CONCATENATE(D119,"|",B119,"|",C119,"|",E119,"|",ROUND(W119,2),"|",ROUND(X119,2),"|",ROUND(Y119,2),"|",ROUND(AB119,2),"|",ROUND(AC119,2),"|",ROUND(AD119,2),"|",ROUND(Z119,2),"|",ROUND(AE119,2),"|",ROUND(AA119*100,2),"%|",ROUND(AF119*100,2),"%|",ROUND(AG119*100,2),"%")</f>
        <v>Oda Nobunaga|4|Archer|QAABB|2.34|10.62|1.72|3.16|1.12|1.72|27.03|8.82|42.91%|27.51%|35.21%</v>
      </c>
    </row>
    <row r="120" spans="1:34" x14ac:dyDescent="0.25">
      <c r="A120">
        <v>81</v>
      </c>
      <c r="B120">
        <v>3</v>
      </c>
      <c r="C120" t="s">
        <v>164</v>
      </c>
      <c r="D120" t="s">
        <v>199</v>
      </c>
      <c r="E120" t="s">
        <v>36</v>
      </c>
      <c r="F120" s="3">
        <v>2</v>
      </c>
      <c r="G120" s="3">
        <v>2</v>
      </c>
      <c r="H120" s="4">
        <v>1</v>
      </c>
      <c r="I120" s="4">
        <v>2</v>
      </c>
      <c r="J120" s="2">
        <v>2</v>
      </c>
      <c r="K120" s="2">
        <v>1</v>
      </c>
      <c r="L120" s="6">
        <v>1.05</v>
      </c>
      <c r="M120" s="5">
        <v>25.6</v>
      </c>
      <c r="N120" s="3">
        <v>0</v>
      </c>
      <c r="O120" s="4">
        <v>0</v>
      </c>
      <c r="P120" s="2">
        <v>0</v>
      </c>
      <c r="Q120" s="6">
        <v>0</v>
      </c>
      <c r="R120" s="5">
        <v>10</v>
      </c>
      <c r="S120" s="6">
        <v>0</v>
      </c>
      <c r="T120" s="5">
        <v>0</v>
      </c>
      <c r="U120">
        <f>VLOOKUP(C120,classOrder,2,FALSE)</f>
        <v>7</v>
      </c>
      <c r="V120" s="7">
        <f>F120+H120+J120</f>
        <v>5</v>
      </c>
      <c r="W120" s="12">
        <f>L120*(firstCardNpBonus+VLOOKUP($W$1, cardNpValue, 2, FALSE)*(1+(N120/100))*(1+(Q120/100)))*G120</f>
        <v>5.25</v>
      </c>
      <c r="X120" s="13">
        <f>L120*(firstCardNpBonus+VLOOKUP($X$1, cardNpValue, 2,FALSE)*(1+(O120/100))*(1+(Q120/100)))*I120</f>
        <v>11.55</v>
      </c>
      <c r="Y120" s="14">
        <f>L120*(firstCardNpBonus+VLOOKUP($Y$1, cardNpValue, 2,FALSE)*(1+(P120/100))*(1+(Q120/100)))*K120</f>
        <v>1.05</v>
      </c>
      <c r="Z120" s="15">
        <f>F120*W120+H120*X120+J120*Y120+S120</f>
        <v>24.150000000000002</v>
      </c>
      <c r="AA120" s="8">
        <f>Z120/maxTotalNpGain</f>
        <v>0.38344245357805906</v>
      </c>
      <c r="AB120" s="12">
        <f>((M120/100)+firstCardStarBonus+VLOOKUP($AB$1, cardStarValue, 2, FALSE)*(1+(N120/100))+(R120/100))*G120</f>
        <v>3.7120000000000002</v>
      </c>
      <c r="AC120" s="13">
        <f>((M120/100)+firstCardStarBonus+VLOOKUP($AC$1, cardStarValue, 2,FALSE )*(1+(O120/100))+(R120/100))*I120</f>
        <v>1.1120000000000001</v>
      </c>
      <c r="AD120" s="14">
        <f>((M120/100)+firstCardStarBonus+VLOOKUP($AD$1, cardStarValue, 2, FALSE)*(1+(P120/100))+(R120/100))*K120</f>
        <v>0.70599999999999996</v>
      </c>
      <c r="AE120" s="11">
        <f>AB120*F120+AC120*H120+AD120*J120+T120</f>
        <v>9.9480000000000004</v>
      </c>
      <c r="AF120" s="9">
        <f>AE120/maxTotalStarGen</f>
        <v>0.31024481521908626</v>
      </c>
      <c r="AG120" s="10">
        <f>(AA120+AF120)/2</f>
        <v>0.34684363439857269</v>
      </c>
      <c r="AH120" t="str">
        <f>CONCATENATE(D120,"|",B120,"|",C120,"|",E120,"|",ROUND(W120,2),"|",ROUND(X120,2),"|",ROUND(Y120,2),"|",ROUND(AB120,2),"|",ROUND(AC120,2),"|",ROUND(AD120,2),"|",ROUND(Z120,2),"|",ROUND(AE120,2),"|",ROUND(AA120*100,2),"%|",ROUND(AF120*100,2),"%|",ROUND(AG120*100,2),"%")</f>
        <v>Henry Jekyll &amp; Hyde (Jekyll)|3|Assassin|QQABB|5.25|11.55|1.05|3.71|1.11|0.71|24.15|9.95|38.34%|31.02%|34.68%</v>
      </c>
    </row>
    <row r="121" spans="1:34" x14ac:dyDescent="0.25">
      <c r="A121">
        <v>108</v>
      </c>
      <c r="B121">
        <v>5</v>
      </c>
      <c r="C121" t="s">
        <v>114</v>
      </c>
      <c r="D121" t="s">
        <v>128</v>
      </c>
      <c r="E121" t="s">
        <v>6</v>
      </c>
      <c r="F121" s="3">
        <v>1</v>
      </c>
      <c r="G121" s="3">
        <v>3</v>
      </c>
      <c r="H121" s="4">
        <v>2</v>
      </c>
      <c r="I121" s="4">
        <v>2</v>
      </c>
      <c r="J121" s="2">
        <v>2</v>
      </c>
      <c r="K121" s="2">
        <v>1</v>
      </c>
      <c r="L121" s="6">
        <v>0.86</v>
      </c>
      <c r="M121" s="5">
        <v>8.8000000000000007</v>
      </c>
      <c r="N121" s="3">
        <v>11</v>
      </c>
      <c r="O121" s="4">
        <v>0</v>
      </c>
      <c r="P121" s="2">
        <f>50/6</f>
        <v>8.3333333333333339</v>
      </c>
      <c r="Q121" s="6">
        <v>0</v>
      </c>
      <c r="R121" s="5">
        <f>50/6</f>
        <v>8.3333333333333339</v>
      </c>
      <c r="S121" s="6">
        <v>0</v>
      </c>
      <c r="T121" s="5">
        <v>0</v>
      </c>
      <c r="U121">
        <f>VLOOKUP(C121,classOrder,2,FALSE)</f>
        <v>5</v>
      </c>
      <c r="V121" s="7">
        <f>F121+H121+J121</f>
        <v>5</v>
      </c>
      <c r="W121" s="12">
        <f>L121*(firstCardNpBonus+VLOOKUP($W$1, cardNpValue, 2, FALSE)*(1+(N121/100))*(1+(Q121/100)))*G121</f>
        <v>6.8757000000000001</v>
      </c>
      <c r="X121" s="13">
        <f>L121*(firstCardNpBonus+VLOOKUP($X$1, cardNpValue, 2,FALSE)*(1+(O121/100))*(1+(Q121/100)))*I121</f>
        <v>9.4599999999999991</v>
      </c>
      <c r="Y121" s="14">
        <f>L121*(firstCardNpBonus+VLOOKUP($Y$1, cardNpValue, 2,FALSE)*(1+(P121/100))*(1+(Q121/100)))*K121</f>
        <v>0.86</v>
      </c>
      <c r="Z121" s="15">
        <f>F121*W121+H121*X121+J121*Y121+S121</f>
        <v>27.515699999999995</v>
      </c>
      <c r="AA121" s="8">
        <f>Z121/maxTotalNpGain</f>
        <v>0.4368814708040496</v>
      </c>
      <c r="AB121" s="12">
        <f>((M121/100)+firstCardStarBonus+VLOOKUP($AB$1, cardStarValue, 2, FALSE)*(1+(N121/100))+(R121/100))*G121</f>
        <v>5.4430000000000005</v>
      </c>
      <c r="AC121" s="13">
        <f>((M121/100)+firstCardStarBonus+VLOOKUP($AC$1, cardStarValue, 2,FALSE )*(1+(O121/100))+(R121/100))*I121</f>
        <v>0.74266666666666681</v>
      </c>
      <c r="AD121" s="14">
        <f>((M121/100)+firstCardStarBonus+VLOOKUP($AD$1, cardStarValue, 2, FALSE)*(1+(P121/100))+(R121/100))*K121</f>
        <v>0.53383333333333338</v>
      </c>
      <c r="AE121" s="11">
        <f>AB121*F121+AC121*H121+AD121*J121+T121</f>
        <v>7.9960000000000013</v>
      </c>
      <c r="AF121" s="9">
        <f>AE121/maxTotalStarGen</f>
        <v>0.24936847029471393</v>
      </c>
      <c r="AG121" s="10">
        <f>(AA121+AF121)/2</f>
        <v>0.34312497054938174</v>
      </c>
      <c r="AH121" t="str">
        <f>CONCATENATE(D121,"|",B121,"|",C121,"|",E121,"|",ROUND(W121,2),"|",ROUND(X121,2),"|",ROUND(Y121,2),"|",ROUND(AB121,2),"|",ROUND(AC121,2),"|",ROUND(AD121,2),"|",ROUND(Z121,2),"|",ROUND(AE121,2),"|",ROUND(AA121*100,2),"%|",ROUND(AF121*100,2),"%|",ROUND(AG121*100,2),"%")</f>
        <v>Iskandar|5|Rider|QAABB|6.88|9.46|0.86|5.44|0.74|0.53|27.52|8|43.69%|24.94%|34.31%</v>
      </c>
    </row>
    <row r="122" spans="1:34" x14ac:dyDescent="0.25">
      <c r="A122">
        <v>78</v>
      </c>
      <c r="B122">
        <v>4</v>
      </c>
      <c r="C122" t="s">
        <v>91</v>
      </c>
      <c r="D122" t="s">
        <v>234</v>
      </c>
      <c r="E122" t="s">
        <v>36</v>
      </c>
      <c r="F122" s="3">
        <v>2</v>
      </c>
      <c r="G122" s="3">
        <v>2</v>
      </c>
      <c r="H122" s="4">
        <v>1</v>
      </c>
      <c r="I122" s="4">
        <v>3</v>
      </c>
      <c r="J122" s="2">
        <v>2</v>
      </c>
      <c r="K122" s="2">
        <v>1</v>
      </c>
      <c r="L122" s="6">
        <v>0.74</v>
      </c>
      <c r="M122" s="5">
        <v>11.8</v>
      </c>
      <c r="N122" s="3">
        <v>10</v>
      </c>
      <c r="O122" s="4">
        <v>0</v>
      </c>
      <c r="P122" s="2">
        <f>55/5</f>
        <v>11</v>
      </c>
      <c r="Q122" s="6">
        <v>0</v>
      </c>
      <c r="R122" s="5">
        <v>0</v>
      </c>
      <c r="S122" s="6">
        <v>0</v>
      </c>
      <c r="T122" s="5">
        <f>10/5</f>
        <v>2</v>
      </c>
      <c r="U122">
        <f>VLOOKUP(C122,classOrder,2,FALSE)</f>
        <v>4</v>
      </c>
      <c r="V122" s="7">
        <f>F122+H122+J122</f>
        <v>5</v>
      </c>
      <c r="W122" s="12">
        <f>L122*(firstCardNpBonus+VLOOKUP($W$1, cardNpValue, 2, FALSE)*(1+(N122/100))*(1+(Q122/100)))*G122</f>
        <v>3.9220000000000006</v>
      </c>
      <c r="X122" s="13">
        <f>L122*(firstCardNpBonus+VLOOKUP($X$1, cardNpValue, 2,FALSE)*(1+(O122/100))*(1+(Q122/100)))*I122</f>
        <v>12.21</v>
      </c>
      <c r="Y122" s="14">
        <f>L122*(firstCardNpBonus+VLOOKUP($Y$1, cardNpValue, 2,FALSE)*(1+(P122/100))*(1+(Q122/100)))*K122</f>
        <v>0.74</v>
      </c>
      <c r="Z122" s="15">
        <f>F122*W122+H122*X122+J122*Y122+S122</f>
        <v>21.534000000000002</v>
      </c>
      <c r="AA122" s="8">
        <f>Z122/maxTotalNpGain</f>
        <v>0.34190682382401344</v>
      </c>
      <c r="AB122" s="12">
        <f>((M122/100)+firstCardStarBonus+VLOOKUP($AB$1, cardStarValue, 2, FALSE)*(1+(N122/100))+(R122/100))*G122</f>
        <v>3.4960000000000004</v>
      </c>
      <c r="AC122" s="13">
        <f>((M122/100)+firstCardStarBonus+VLOOKUP($AC$1, cardStarValue, 2,FALSE )*(1+(O122/100))+(R122/100))*I122</f>
        <v>0.95399999999999996</v>
      </c>
      <c r="AD122" s="14">
        <f>((M122/100)+firstCardStarBonus+VLOOKUP($AD$1, cardStarValue, 2, FALSE)*(1+(P122/100))+(R122/100))*K122</f>
        <v>0.48450000000000004</v>
      </c>
      <c r="AE122" s="11">
        <f>AB122*F122+AC122*H122+AD122*J122+T122</f>
        <v>10.915000000000001</v>
      </c>
      <c r="AF122" s="9">
        <f>AE122/maxTotalStarGen</f>
        <v>0.34040230781225639</v>
      </c>
      <c r="AG122" s="10">
        <f>(AA122+AF122)/2</f>
        <v>0.34115456581813491</v>
      </c>
      <c r="AH122" t="str">
        <f>CONCATENATE(D122,"|",B122,"|",C122,"|",E122,"|",ROUND(W122,2),"|",ROUND(X122,2),"|",ROUND(Y122,2),"|",ROUND(AB122,2),"|",ROUND(AC122,2),"|",ROUND(AD122,2),"|",ROUND(Z122,2),"|",ROUND(AE122,2),"|",ROUND(AA122*100,2),"%|",ROUND(AF122*100,2),"%|",ROUND(AG122*100,2),"%")</f>
        <v>Artoria Pendragon (Lancer Alter)|4|Lancer|QQABB|3.92|12.21|0.74|3.5|0.95|0.48|21.53|10.92|34.19%|34.04%|34.12%</v>
      </c>
    </row>
    <row r="123" spans="1:34" x14ac:dyDescent="0.25">
      <c r="A123">
        <v>19</v>
      </c>
      <c r="B123">
        <v>2</v>
      </c>
      <c r="C123" t="s">
        <v>91</v>
      </c>
      <c r="D123" t="s">
        <v>94</v>
      </c>
      <c r="E123" t="s">
        <v>67</v>
      </c>
      <c r="F123" s="3">
        <v>2</v>
      </c>
      <c r="G123" s="3">
        <v>2</v>
      </c>
      <c r="H123" s="4">
        <v>2</v>
      </c>
      <c r="I123" s="4">
        <v>2</v>
      </c>
      <c r="J123" s="2">
        <v>1</v>
      </c>
      <c r="K123" s="2">
        <v>1</v>
      </c>
      <c r="L123" s="6">
        <v>0.79</v>
      </c>
      <c r="M123" s="5">
        <v>11.9</v>
      </c>
      <c r="N123" s="3">
        <v>0</v>
      </c>
      <c r="O123" s="4">
        <v>0</v>
      </c>
      <c r="P123" s="2">
        <v>0</v>
      </c>
      <c r="Q123" s="6">
        <v>0</v>
      </c>
      <c r="R123" s="5">
        <v>0</v>
      </c>
      <c r="S123" s="6">
        <v>0</v>
      </c>
      <c r="T123" s="5">
        <v>0</v>
      </c>
      <c r="U123">
        <f>VLOOKUP(C123,classOrder,2,FALSE)</f>
        <v>4</v>
      </c>
      <c r="V123" s="7">
        <f>F123+H123+J123</f>
        <v>5</v>
      </c>
      <c r="W123" s="12">
        <f>L123*(firstCardNpBonus+VLOOKUP($W$1, cardNpValue, 2, FALSE)*(1+(N123/100))*(1+(Q123/100)))*G123</f>
        <v>3.95</v>
      </c>
      <c r="X123" s="13">
        <f>L123*(firstCardNpBonus+VLOOKUP($X$1, cardNpValue, 2,FALSE)*(1+(O123/100))*(1+(Q123/100)))*I123</f>
        <v>8.6900000000000013</v>
      </c>
      <c r="Y123" s="14">
        <f>L123*(firstCardNpBonus+VLOOKUP($Y$1, cardNpValue, 2,FALSE)*(1+(P123/100))*(1+(Q123/100)))*K123</f>
        <v>0.79</v>
      </c>
      <c r="Z123" s="15">
        <f>F123*W123+H123*X123+J123*Y123+S123</f>
        <v>26.07</v>
      </c>
      <c r="AA123" s="8">
        <f>Z123/maxTotalNpGain</f>
        <v>0.41392731945258798</v>
      </c>
      <c r="AB123" s="12">
        <f>((M123/100)+firstCardStarBonus+VLOOKUP($AB$1, cardStarValue, 2, FALSE)*(1+(N123/100))+(R123/100))*G123</f>
        <v>3.238</v>
      </c>
      <c r="AC123" s="13">
        <f>((M123/100)+firstCardStarBonus+VLOOKUP($AC$1, cardStarValue, 2,FALSE )*(1+(O123/100))+(R123/100))*I123</f>
        <v>0.63800000000000001</v>
      </c>
      <c r="AD123" s="14">
        <f>((M123/100)+firstCardStarBonus+VLOOKUP($AD$1, cardStarValue, 2, FALSE)*(1+(P123/100))+(R123/100))*K123</f>
        <v>0.46899999999999997</v>
      </c>
      <c r="AE123" s="11">
        <f>AB123*F123+AC123*H123+AD123*J123+T123</f>
        <v>8.2210000000000001</v>
      </c>
      <c r="AF123" s="9">
        <f>AE123/maxTotalStarGen</f>
        <v>0.25638546702011539</v>
      </c>
      <c r="AG123" s="10">
        <f>(AA123+AF123)/2</f>
        <v>0.33515639323635171</v>
      </c>
      <c r="AH123" t="str">
        <f>CONCATENATE(D123,"|",B123,"|",C123,"|",E123,"|",ROUND(W123,2),"|",ROUND(X123,2),"|",ROUND(Y123,2),"|",ROUND(AB123,2),"|",ROUND(AC123,2),"|",ROUND(AD123,2),"|",ROUND(Z123,2),"|",ROUND(AE123,2),"|",ROUND(AA123*100,2),"%|",ROUND(AF123*100,2),"%|",ROUND(AG123*100,2),"%")</f>
        <v>Musashibou Benkei|2|Lancer|QQAAB|3.95|8.69|0.79|3.24|0.64|0.47|26.07|8.22|41.39%|25.64%|33.52%</v>
      </c>
    </row>
    <row r="124" spans="1:34" x14ac:dyDescent="0.25">
      <c r="A124">
        <v>64</v>
      </c>
      <c r="B124">
        <v>3</v>
      </c>
      <c r="C124" t="s">
        <v>91</v>
      </c>
      <c r="D124" t="s">
        <v>98</v>
      </c>
      <c r="E124" t="s">
        <v>36</v>
      </c>
      <c r="F124" s="3">
        <v>2</v>
      </c>
      <c r="G124" s="3">
        <v>2</v>
      </c>
      <c r="H124" s="4">
        <v>1</v>
      </c>
      <c r="I124" s="4">
        <v>2</v>
      </c>
      <c r="J124" s="2">
        <v>2</v>
      </c>
      <c r="K124" s="2">
        <v>1</v>
      </c>
      <c r="L124" s="6">
        <v>1.08</v>
      </c>
      <c r="M124" s="5">
        <v>12.2</v>
      </c>
      <c r="N124" s="3">
        <v>8</v>
      </c>
      <c r="O124" s="4">
        <v>0</v>
      </c>
      <c r="P124" s="2">
        <v>0</v>
      </c>
      <c r="Q124" s="6">
        <v>0</v>
      </c>
      <c r="R124" s="5">
        <v>0</v>
      </c>
      <c r="S124" s="6">
        <v>0</v>
      </c>
      <c r="T124" s="5">
        <v>0</v>
      </c>
      <c r="U124">
        <f>VLOOKUP(C124,classOrder,2,FALSE)</f>
        <v>4</v>
      </c>
      <c r="V124" s="7">
        <f>F124+H124+J124</f>
        <v>5</v>
      </c>
      <c r="W124" s="12">
        <f>L124*(firstCardNpBonus+VLOOKUP($W$1, cardNpValue, 2, FALSE)*(1+(N124/100))*(1+(Q124/100)))*G124</f>
        <v>5.6592000000000002</v>
      </c>
      <c r="X124" s="13">
        <f>L124*(firstCardNpBonus+VLOOKUP($X$1, cardNpValue, 2,FALSE)*(1+(O124/100))*(1+(Q124/100)))*I124</f>
        <v>11.88</v>
      </c>
      <c r="Y124" s="14">
        <f>L124*(firstCardNpBonus+VLOOKUP($Y$1, cardNpValue, 2,FALSE)*(1+(P124/100))*(1+(Q124/100)))*K124</f>
        <v>1.08</v>
      </c>
      <c r="Z124" s="15">
        <f>F124*W124+H124*X124+J124*Y124+S124</f>
        <v>25.3584</v>
      </c>
      <c r="AA124" s="8">
        <f>Z124/maxTotalNpGain</f>
        <v>0.4026288660378407</v>
      </c>
      <c r="AB124" s="12">
        <f>((M124/100)+firstCardStarBonus+VLOOKUP($AB$1, cardStarValue, 2, FALSE)*(1+(N124/100))+(R124/100))*G124</f>
        <v>3.4520000000000004</v>
      </c>
      <c r="AC124" s="13">
        <f>((M124/100)+firstCardStarBonus+VLOOKUP($AC$1, cardStarValue, 2,FALSE )*(1+(O124/100))+(R124/100))*I124</f>
        <v>0.64400000000000002</v>
      </c>
      <c r="AD124" s="14">
        <f>((M124/100)+firstCardStarBonus+VLOOKUP($AD$1, cardStarValue, 2, FALSE)*(1+(P124/100))+(R124/100))*K124</f>
        <v>0.47199999999999998</v>
      </c>
      <c r="AE124" s="11">
        <f>AB124*F124+AC124*H124+AD124*J124+T124</f>
        <v>8.4920000000000009</v>
      </c>
      <c r="AF124" s="9">
        <f>AE124/maxTotalStarGen</f>
        <v>0.26483704974271016</v>
      </c>
      <c r="AG124" s="10">
        <f>(AA124+AF124)/2</f>
        <v>0.33373295789027546</v>
      </c>
      <c r="AH124" t="str">
        <f>CONCATENATE(D124,"|",B124,"|",C124,"|",E124,"|",ROUND(W124,2),"|",ROUND(X124,2),"|",ROUND(Y124,2),"|",ROUND(AB124,2),"|",ROUND(AC124,2),"|",ROUND(AD124,2),"|",ROUND(Z124,2),"|",ROUND(AE124,2),"|",ROUND(AA124*100,2),"%|",ROUND(AF124*100,2),"%|",ROUND(AG124*100,2),"%")</f>
        <v>Hector|3|Lancer|QQABB|5.66|11.88|1.08|3.45|0.64|0.47|25.36|8.49|40.26%|26.48%|33.37%</v>
      </c>
    </row>
    <row r="125" spans="1:34" x14ac:dyDescent="0.25">
      <c r="A125">
        <v>18</v>
      </c>
      <c r="B125">
        <v>4</v>
      </c>
      <c r="C125" t="s">
        <v>91</v>
      </c>
      <c r="D125" t="s">
        <v>93</v>
      </c>
      <c r="E125" t="s">
        <v>36</v>
      </c>
      <c r="F125" s="3">
        <v>2</v>
      </c>
      <c r="G125" s="3">
        <v>2</v>
      </c>
      <c r="H125" s="4">
        <v>1</v>
      </c>
      <c r="I125" s="4">
        <v>2</v>
      </c>
      <c r="J125" s="2">
        <v>2</v>
      </c>
      <c r="K125" s="2">
        <v>1</v>
      </c>
      <c r="L125" s="6">
        <v>1.1000000000000001</v>
      </c>
      <c r="M125" s="5">
        <v>11.8</v>
      </c>
      <c r="N125" s="3">
        <v>0</v>
      </c>
      <c r="O125" s="4">
        <v>8</v>
      </c>
      <c r="P125" s="2">
        <v>0</v>
      </c>
      <c r="Q125" s="6">
        <v>0</v>
      </c>
      <c r="R125" s="5">
        <v>0</v>
      </c>
      <c r="S125" s="6">
        <v>0</v>
      </c>
      <c r="T125" s="5">
        <v>0</v>
      </c>
      <c r="U125">
        <f>VLOOKUP(C125,classOrder,2,FALSE)</f>
        <v>4</v>
      </c>
      <c r="V125" s="7">
        <f>F125+H125+J125</f>
        <v>5</v>
      </c>
      <c r="W125" s="12">
        <f>L125*(firstCardNpBonus+VLOOKUP($W$1, cardNpValue, 2, FALSE)*(1+(N125/100))*(1+(Q125/100)))*G125</f>
        <v>5.5</v>
      </c>
      <c r="X125" s="13">
        <f>L125*(firstCardNpBonus+VLOOKUP($X$1, cardNpValue, 2,FALSE)*(1+(O125/100))*(1+(Q125/100)))*I125</f>
        <v>12.892000000000001</v>
      </c>
      <c r="Y125" s="14">
        <f>L125*(firstCardNpBonus+VLOOKUP($Y$1, cardNpValue, 2,FALSE)*(1+(P125/100))*(1+(Q125/100)))*K125</f>
        <v>1.1000000000000001</v>
      </c>
      <c r="Z125" s="15">
        <f>F125*W125+H125*X125+J125*Y125+S125</f>
        <v>26.092000000000002</v>
      </c>
      <c r="AA125" s="8">
        <f>Z125/maxTotalNpGain</f>
        <v>0.41427662520740033</v>
      </c>
      <c r="AB125" s="12">
        <f>((M125/100)+firstCardStarBonus+VLOOKUP($AB$1, cardStarValue, 2, FALSE)*(1+(N125/100))+(R125/100))*G125</f>
        <v>3.2360000000000002</v>
      </c>
      <c r="AC125" s="13">
        <f>((M125/100)+firstCardStarBonus+VLOOKUP($AC$1, cardStarValue, 2,FALSE )*(1+(O125/100))+(R125/100))*I125</f>
        <v>0.63600000000000001</v>
      </c>
      <c r="AD125" s="14">
        <f>((M125/100)+firstCardStarBonus+VLOOKUP($AD$1, cardStarValue, 2, FALSE)*(1+(P125/100))+(R125/100))*K125</f>
        <v>0.46799999999999997</v>
      </c>
      <c r="AE125" s="11">
        <f>AB125*F125+AC125*H125+AD125*J125+T125</f>
        <v>8.0440000000000005</v>
      </c>
      <c r="AF125" s="9">
        <f>AE125/maxTotalStarGen</f>
        <v>0.25086542959613289</v>
      </c>
      <c r="AG125" s="10">
        <f>(AA125+AF125)/2</f>
        <v>0.33257102740176658</v>
      </c>
      <c r="AH125" t="str">
        <f>CONCATENATE(D125,"|",B125,"|",C125,"|",E125,"|",ROUND(W125,2),"|",ROUND(X125,2),"|",ROUND(Y125,2),"|",ROUND(AB125,2),"|",ROUND(AC125,2),"|",ROUND(AD125,2),"|",ROUND(Z125,2),"|",ROUND(AE125,2),"|",ROUND(AA125*100,2),"%|",ROUND(AF125*100,2),"%|",ROUND(AG125*100,2),"%")</f>
        <v>Elizabeth Bathory|4|Lancer|QQABB|5.5|12.89|1.1|3.24|0.64|0.47|26.09|8.04|41.43%|25.09%|33.26%</v>
      </c>
    </row>
    <row r="126" spans="1:34" x14ac:dyDescent="0.25">
      <c r="A126">
        <v>164</v>
      </c>
      <c r="B126">
        <v>4</v>
      </c>
      <c r="C126" t="s">
        <v>221</v>
      </c>
      <c r="D126" t="s">
        <v>223</v>
      </c>
      <c r="E126" t="s">
        <v>50</v>
      </c>
      <c r="F126" s="3">
        <v>1</v>
      </c>
      <c r="G126" s="3">
        <v>4</v>
      </c>
      <c r="H126" s="4">
        <v>1</v>
      </c>
      <c r="I126" s="4">
        <v>3</v>
      </c>
      <c r="J126" s="2">
        <v>3</v>
      </c>
      <c r="K126" s="2">
        <v>1</v>
      </c>
      <c r="L126" s="6">
        <v>0.77</v>
      </c>
      <c r="M126" s="5">
        <v>9.9</v>
      </c>
      <c r="N126" s="3">
        <v>0</v>
      </c>
      <c r="O126" s="4">
        <v>0</v>
      </c>
      <c r="P126" s="2">
        <v>0</v>
      </c>
      <c r="Q126" s="6">
        <v>0</v>
      </c>
      <c r="R126" s="5">
        <v>10.5</v>
      </c>
      <c r="S126" s="6">
        <v>0</v>
      </c>
      <c r="T126" s="5">
        <v>0</v>
      </c>
      <c r="U126">
        <f>VLOOKUP(C126,classOrder,2,FALSE)</f>
        <v>12</v>
      </c>
      <c r="V126" s="7">
        <f>F126+H126+J126</f>
        <v>5</v>
      </c>
      <c r="W126" s="12">
        <f>L126*(firstCardNpBonus+VLOOKUP($W$1, cardNpValue, 2, FALSE)*(1+(N126/100))*(1+(Q126/100)))*G126</f>
        <v>7.7</v>
      </c>
      <c r="X126" s="13">
        <f>L126*(firstCardNpBonus+VLOOKUP($X$1, cardNpValue, 2,FALSE)*(1+(O126/100))*(1+(Q126/100)))*I126</f>
        <v>12.705000000000002</v>
      </c>
      <c r="Y126" s="14">
        <f>L126*(firstCardNpBonus+VLOOKUP($Y$1, cardNpValue, 2,FALSE)*(1+(P126/100))*(1+(Q126/100)))*K126</f>
        <v>0.77</v>
      </c>
      <c r="Z126" s="15">
        <f>F126*W126+H126*X126+J126*Y126+S126</f>
        <v>22.715</v>
      </c>
      <c r="AA126" s="8">
        <f>Z126/maxTotalNpGain</f>
        <v>0.36065819184371062</v>
      </c>
      <c r="AB126" s="12">
        <f>((M126/100)+firstCardStarBonus+VLOOKUP($AB$1, cardStarValue, 2, FALSE)*(1+(N126/100))+(R126/100))*G126</f>
        <v>6.8160000000000007</v>
      </c>
      <c r="AC126" s="13">
        <f>((M126/100)+firstCardStarBonus+VLOOKUP($AC$1, cardStarValue, 2,FALSE )*(1+(O126/100))+(R126/100))*I126</f>
        <v>1.2120000000000002</v>
      </c>
      <c r="AD126" s="14">
        <f>((M126/100)+firstCardStarBonus+VLOOKUP($AD$1, cardStarValue, 2, FALSE)*(1+(P126/100))+(R126/100))*K126</f>
        <v>0.55400000000000005</v>
      </c>
      <c r="AE126" s="11">
        <f>AB126*F126+AC126*H126+AD126*J126+T126</f>
        <v>9.6900000000000013</v>
      </c>
      <c r="AF126" s="9">
        <f>AE126/maxTotalStarGen</f>
        <v>0.3021986589739592</v>
      </c>
      <c r="AG126" s="10">
        <f>(AA126+AF126)/2</f>
        <v>0.33142842540883488</v>
      </c>
      <c r="AH126" t="str">
        <f>CONCATENATE(D126,"|",B126,"|",C126,"|",E126,"|",ROUND(W126,2),"|",ROUND(X126,2),"|",ROUND(Y126,2),"|",ROUND(AB126,2),"|",ROUND(AC126,2),"|",ROUND(AD126,2),"|",ROUND(Z126,2),"|",ROUND(AE126,2),"|",ROUND(AA126*100,2),"%|",ROUND(AF126*100,2),"%|",ROUND(AG126*100,2),"%")</f>
        <v>Passionlip|4|Alter Ego|QABBB|7.7|12.71|0.77|6.82|1.21|0.55|22.72|9.69|36.07%|30.22%|33.14%</v>
      </c>
    </row>
    <row r="127" spans="1:34" x14ac:dyDescent="0.25">
      <c r="A127">
        <v>8</v>
      </c>
      <c r="B127">
        <v>5</v>
      </c>
      <c r="C127" t="s">
        <v>4</v>
      </c>
      <c r="D127" t="s">
        <v>45</v>
      </c>
      <c r="E127" t="s">
        <v>6</v>
      </c>
      <c r="F127" s="3">
        <v>1</v>
      </c>
      <c r="G127" s="3">
        <v>2</v>
      </c>
      <c r="H127" s="4">
        <v>2</v>
      </c>
      <c r="I127" s="4">
        <v>2</v>
      </c>
      <c r="J127" s="2">
        <v>2</v>
      </c>
      <c r="K127" s="2">
        <v>1</v>
      </c>
      <c r="L127" s="6">
        <v>0.84</v>
      </c>
      <c r="M127" s="5">
        <v>10.1</v>
      </c>
      <c r="N127" s="3">
        <v>10</v>
      </c>
      <c r="O127" s="4">
        <v>0</v>
      </c>
      <c r="P127" s="2">
        <v>0</v>
      </c>
      <c r="Q127" s="6">
        <v>0</v>
      </c>
      <c r="R127" s="5">
        <v>0</v>
      </c>
      <c r="S127" s="6">
        <v>0</v>
      </c>
      <c r="T127" s="5">
        <f>15/5</f>
        <v>3</v>
      </c>
      <c r="U127">
        <f>VLOOKUP(C127,classOrder,2,FALSE)</f>
        <v>2</v>
      </c>
      <c r="V127" s="7">
        <f>F127+H127+J127</f>
        <v>5</v>
      </c>
      <c r="W127" s="12">
        <f>L127*(firstCardNpBonus+VLOOKUP($W$1, cardNpValue, 2, FALSE)*(1+(N127/100))*(1+(Q127/100)))*G127</f>
        <v>4.4520000000000008</v>
      </c>
      <c r="X127" s="13">
        <f>L127*(firstCardNpBonus+VLOOKUP($X$1, cardNpValue, 2,FALSE)*(1+(O127/100))*(1+(Q127/100)))*I127</f>
        <v>9.24</v>
      </c>
      <c r="Y127" s="14">
        <f>L127*(firstCardNpBonus+VLOOKUP($Y$1, cardNpValue, 2,FALSE)*(1+(P127/100))*(1+(Q127/100)))*K127</f>
        <v>0.84</v>
      </c>
      <c r="Z127" s="15">
        <f>F127*W127+H127*X127+J127*Y127+S127</f>
        <v>24.612000000000002</v>
      </c>
      <c r="AA127" s="8">
        <f>Z127/maxTotalNpGain</f>
        <v>0.3907778744291176</v>
      </c>
      <c r="AB127" s="12">
        <f>((M127/100)+firstCardStarBonus+VLOOKUP($AB$1, cardStarValue, 2, FALSE)*(1+(N127/100))+(R127/100))*G127</f>
        <v>3.4620000000000002</v>
      </c>
      <c r="AC127" s="13">
        <f>((M127/100)+firstCardStarBonus+VLOOKUP($AC$1, cardStarValue, 2,FALSE )*(1+(O127/100))+(R127/100))*I127</f>
        <v>0.60199999999999998</v>
      </c>
      <c r="AD127" s="14">
        <f>((M127/100)+firstCardStarBonus+VLOOKUP($AD$1, cardStarValue, 2, FALSE)*(1+(P127/100))+(R127/100))*K127</f>
        <v>0.45099999999999996</v>
      </c>
      <c r="AE127" s="11">
        <f>AB127*F127+AC127*H127+AD127*J127+T127</f>
        <v>8.5680000000000014</v>
      </c>
      <c r="AF127" s="9">
        <f>AE127/maxTotalStarGen</f>
        <v>0.26720723530329027</v>
      </c>
      <c r="AG127" s="10">
        <f>(AA127+AF127)/2</f>
        <v>0.32899255486620393</v>
      </c>
      <c r="AH127" t="str">
        <f>CONCATENATE(D127,"|",B127,"|",C127,"|",E127,"|",ROUND(W127,2),"|",ROUND(X127,2),"|",ROUND(Y127,2),"|",ROUND(AB127,2),"|",ROUND(AC127,2),"|",ROUND(AD127,2),"|",ROUND(Z127,2),"|",ROUND(AE127,2),"|",ROUND(AA127*100,2),"%|",ROUND(AF127*100,2),"%|",ROUND(AG127*100,2),"%")</f>
        <v>Attila|5|Saber|QAABB|4.45|9.24|0.84|3.46|0.6|0.45|24.61|8.57|39.08%|26.72%|32.9%</v>
      </c>
    </row>
    <row r="128" spans="1:34" x14ac:dyDescent="0.25">
      <c r="A128">
        <v>4</v>
      </c>
      <c r="B128">
        <v>4</v>
      </c>
      <c r="C128" t="s">
        <v>4</v>
      </c>
      <c r="D128" t="s">
        <v>32</v>
      </c>
      <c r="E128" t="s">
        <v>6</v>
      </c>
      <c r="F128" s="3">
        <v>1</v>
      </c>
      <c r="G128" s="3">
        <v>2</v>
      </c>
      <c r="H128" s="4">
        <v>2</v>
      </c>
      <c r="I128" s="4">
        <v>2</v>
      </c>
      <c r="J128" s="2">
        <v>2</v>
      </c>
      <c r="K128" s="2">
        <v>1</v>
      </c>
      <c r="L128" s="6">
        <v>0.86</v>
      </c>
      <c r="M128" s="5">
        <v>10</v>
      </c>
      <c r="N128" s="3">
        <v>6</v>
      </c>
      <c r="O128" s="4">
        <v>0</v>
      </c>
      <c r="P128" s="2">
        <v>0</v>
      </c>
      <c r="Q128" s="6">
        <v>0</v>
      </c>
      <c r="R128" s="5">
        <v>0</v>
      </c>
      <c r="S128" s="6">
        <v>0</v>
      </c>
      <c r="T128" s="5">
        <f>14/5</f>
        <v>2.8</v>
      </c>
      <c r="U128">
        <f>VLOOKUP(C128,classOrder,2,FALSE)</f>
        <v>2</v>
      </c>
      <c r="V128" s="7">
        <f>F128+H128+J128</f>
        <v>5</v>
      </c>
      <c r="W128" s="12">
        <f>L128*(firstCardNpBonus+VLOOKUP($W$1, cardNpValue, 2, FALSE)*(1+(N128/100))*(1+(Q128/100)))*G128</f>
        <v>4.4547999999999996</v>
      </c>
      <c r="X128" s="13">
        <f>L128*(firstCardNpBonus+VLOOKUP($X$1, cardNpValue, 2,FALSE)*(1+(O128/100))*(1+(Q128/100)))*I128</f>
        <v>9.4599999999999991</v>
      </c>
      <c r="Y128" s="14">
        <f>L128*(firstCardNpBonus+VLOOKUP($Y$1, cardNpValue, 2,FALSE)*(1+(P128/100))*(1+(Q128/100)))*K128</f>
        <v>0.86</v>
      </c>
      <c r="Z128" s="15">
        <f>F128*W128+H128*X128+J128*Y128+S128</f>
        <v>25.094799999999996</v>
      </c>
      <c r="AA128" s="8">
        <f>Z128/maxTotalNpGain</f>
        <v>0.39844354799381676</v>
      </c>
      <c r="AB128" s="12">
        <f>((M128/100)+firstCardStarBonus+VLOOKUP($AB$1, cardStarValue, 2, FALSE)*(1+(N128/100))+(R128/100))*G128</f>
        <v>3.3560000000000003</v>
      </c>
      <c r="AC128" s="13">
        <f>((M128/100)+firstCardStarBonus+VLOOKUP($AC$1, cardStarValue, 2,FALSE )*(1+(O128/100))+(R128/100))*I128</f>
        <v>0.60000000000000009</v>
      </c>
      <c r="AD128" s="14">
        <f>((M128/100)+firstCardStarBonus+VLOOKUP($AD$1, cardStarValue, 2, FALSE)*(1+(P128/100))+(R128/100))*K128</f>
        <v>0.45000000000000007</v>
      </c>
      <c r="AE128" s="11">
        <f>AB128*F128+AC128*H128+AD128*J128+T128</f>
        <v>8.2560000000000002</v>
      </c>
      <c r="AF128" s="9">
        <f>AE128/maxTotalStarGen</f>
        <v>0.25747699984406675</v>
      </c>
      <c r="AG128" s="10">
        <f>(AA128+AF128)/2</f>
        <v>0.32796027391894178</v>
      </c>
      <c r="AH128" t="str">
        <f>CONCATENATE(D128,"|",B128,"|",C128,"|",E128,"|",ROUND(W128,2),"|",ROUND(X128,2),"|",ROUND(Y128,2),"|",ROUND(AB128,2),"|",ROUND(AC128,2),"|",ROUND(AD128,2),"|",ROUND(Z128,2),"|",ROUND(AE128,2),"|",ROUND(AA128*100,2),"%|",ROUND(AF128*100,2),"%|",ROUND(AG128*100,2),"%")</f>
        <v>Artoria Pendragon (Lily)|4|Saber|QAABB|4.45|9.46|0.86|3.36|0.6|0.45|25.09|8.26|39.84%|25.75%|32.8%</v>
      </c>
    </row>
    <row r="129" spans="1:34" x14ac:dyDescent="0.25">
      <c r="A129">
        <v>3</v>
      </c>
      <c r="B129">
        <v>4</v>
      </c>
      <c r="C129" t="s">
        <v>4</v>
      </c>
      <c r="D129" t="s">
        <v>31</v>
      </c>
      <c r="E129" t="s">
        <v>6</v>
      </c>
      <c r="F129" s="3">
        <v>1</v>
      </c>
      <c r="G129" s="3">
        <v>2</v>
      </c>
      <c r="H129" s="4">
        <v>2</v>
      </c>
      <c r="I129" s="4">
        <v>2</v>
      </c>
      <c r="J129" s="2">
        <v>2</v>
      </c>
      <c r="K129" s="2">
        <v>1</v>
      </c>
      <c r="L129" s="6">
        <v>0.86</v>
      </c>
      <c r="M129" s="5">
        <v>9.9</v>
      </c>
      <c r="N129" s="3">
        <v>0</v>
      </c>
      <c r="O129" s="4">
        <v>0</v>
      </c>
      <c r="P129" s="2">
        <f>50/5</f>
        <v>10</v>
      </c>
      <c r="Q129" s="6">
        <v>0</v>
      </c>
      <c r="R129" s="5">
        <v>0</v>
      </c>
      <c r="S129" s="6">
        <v>0</v>
      </c>
      <c r="T129" s="5">
        <f>14/5</f>
        <v>2.8</v>
      </c>
      <c r="U129">
        <f>VLOOKUP(C129,classOrder,2,FALSE)</f>
        <v>2</v>
      </c>
      <c r="V129" s="7">
        <f>F129+H129+J129</f>
        <v>5</v>
      </c>
      <c r="W129" s="12">
        <f>L129*(firstCardNpBonus+VLOOKUP($W$1, cardNpValue, 2, FALSE)*(1+(N129/100))*(1+(Q129/100)))*G129</f>
        <v>4.3</v>
      </c>
      <c r="X129" s="13">
        <f>L129*(firstCardNpBonus+VLOOKUP($X$1, cardNpValue, 2,FALSE)*(1+(O129/100))*(1+(Q129/100)))*I129</f>
        <v>9.4599999999999991</v>
      </c>
      <c r="Y129" s="14">
        <f>L129*(firstCardNpBonus+VLOOKUP($Y$1, cardNpValue, 2,FALSE)*(1+(P129/100))*(1+(Q129/100)))*K129</f>
        <v>0.86</v>
      </c>
      <c r="Z129" s="15">
        <f>F129*W129+H129*X129+J129*Y129+S129</f>
        <v>24.939999999999998</v>
      </c>
      <c r="AA129" s="8">
        <f>Z129/maxTotalNpGain</f>
        <v>0.39598570568268288</v>
      </c>
      <c r="AB129" s="12">
        <f>((M129/100)+firstCardStarBonus+VLOOKUP($AB$1, cardStarValue, 2, FALSE)*(1+(N129/100))+(R129/100))*G129</f>
        <v>3.1980000000000004</v>
      </c>
      <c r="AC129" s="13">
        <f>((M129/100)+firstCardStarBonus+VLOOKUP($AC$1, cardStarValue, 2,FALSE )*(1+(O129/100))+(R129/100))*I129</f>
        <v>0.59800000000000009</v>
      </c>
      <c r="AD129" s="14">
        <f>((M129/100)+firstCardStarBonus+VLOOKUP($AD$1, cardStarValue, 2, FALSE)*(1+(P129/100))+(R129/100))*K129</f>
        <v>0.46400000000000008</v>
      </c>
      <c r="AE129" s="11">
        <f>AB129*F129+AC129*H129+AD129*J129+T129</f>
        <v>8.1219999999999999</v>
      </c>
      <c r="AF129" s="9">
        <f>AE129/maxTotalStarGen</f>
        <v>0.25329798846093871</v>
      </c>
      <c r="AG129" s="10">
        <f>(AA129+AF129)/2</f>
        <v>0.32464184707181076</v>
      </c>
      <c r="AH129" t="str">
        <f>CONCATENATE(D129,"|",B129,"|",C129,"|",E129,"|",ROUND(W129,2),"|",ROUND(X129,2),"|",ROUND(Y129,2),"|",ROUND(AB129,2),"|",ROUND(AC129,2),"|",ROUND(AD129,2),"|",ROUND(Z129,2),"|",ROUND(AE129,2),"|",ROUND(AA129*100,2),"%|",ROUND(AF129*100,2),"%|",ROUND(AG129*100,2),"%")</f>
        <v>Artoria Pendragon (Alter)|4|Saber|QAABB|4.3|9.46|0.86|3.2|0.6|0.46|24.94|8.12|39.6%|25.33%|32.46%</v>
      </c>
    </row>
    <row r="130" spans="1:34" x14ac:dyDescent="0.25">
      <c r="A130">
        <v>20</v>
      </c>
      <c r="B130">
        <v>3</v>
      </c>
      <c r="C130" t="s">
        <v>91</v>
      </c>
      <c r="D130" t="s">
        <v>95</v>
      </c>
      <c r="E130" t="s">
        <v>36</v>
      </c>
      <c r="F130" s="3">
        <v>2</v>
      </c>
      <c r="G130" s="3">
        <v>2</v>
      </c>
      <c r="H130" s="4">
        <v>1</v>
      </c>
      <c r="I130" s="4">
        <v>2</v>
      </c>
      <c r="J130" s="2">
        <v>2</v>
      </c>
      <c r="K130" s="2">
        <v>1</v>
      </c>
      <c r="L130" s="6">
        <v>1.08</v>
      </c>
      <c r="M130" s="5">
        <v>12.1</v>
      </c>
      <c r="N130" s="3">
        <v>0</v>
      </c>
      <c r="O130" s="4">
        <v>0</v>
      </c>
      <c r="P130" s="2">
        <v>0</v>
      </c>
      <c r="Q130" s="6">
        <v>0</v>
      </c>
      <c r="R130" s="5">
        <v>0</v>
      </c>
      <c r="S130" s="6">
        <v>0</v>
      </c>
      <c r="T130" s="5">
        <v>0</v>
      </c>
      <c r="U130">
        <f>VLOOKUP(C130,classOrder,2,FALSE)</f>
        <v>4</v>
      </c>
      <c r="V130" s="7">
        <f>F130+H130+J130</f>
        <v>5</v>
      </c>
      <c r="W130" s="12">
        <f>L130*(firstCardNpBonus+VLOOKUP($W$1, cardNpValue, 2, FALSE)*(1+(N130/100))*(1+(Q130/100)))*G130</f>
        <v>5.4</v>
      </c>
      <c r="X130" s="13">
        <f>L130*(firstCardNpBonus+VLOOKUP($X$1, cardNpValue, 2,FALSE)*(1+(O130/100))*(1+(Q130/100)))*I130</f>
        <v>11.88</v>
      </c>
      <c r="Y130" s="14">
        <f>L130*(firstCardNpBonus+VLOOKUP($Y$1, cardNpValue, 2,FALSE)*(1+(P130/100))*(1+(Q130/100)))*K130</f>
        <v>1.08</v>
      </c>
      <c r="Z130" s="15">
        <f>F130*W130+H130*X130+J130*Y130+S130</f>
        <v>24.84</v>
      </c>
      <c r="AA130" s="8">
        <f>Z130/maxTotalNpGain</f>
        <v>0.39439795225171786</v>
      </c>
      <c r="AB130" s="12">
        <f>((M130/100)+firstCardStarBonus+VLOOKUP($AB$1, cardStarValue, 2, FALSE)*(1+(N130/100))+(R130/100))*G130</f>
        <v>3.242</v>
      </c>
      <c r="AC130" s="13">
        <f>((M130/100)+firstCardStarBonus+VLOOKUP($AC$1, cardStarValue, 2,FALSE )*(1+(O130/100))+(R130/100))*I130</f>
        <v>0.64200000000000002</v>
      </c>
      <c r="AD130" s="14">
        <f>((M130/100)+firstCardStarBonus+VLOOKUP($AD$1, cardStarValue, 2, FALSE)*(1+(P130/100))+(R130/100))*K130</f>
        <v>0.47099999999999997</v>
      </c>
      <c r="AE130" s="11">
        <f>AB130*F130+AC130*H130+AD130*J130+T130</f>
        <v>8.0679999999999996</v>
      </c>
      <c r="AF130" s="9">
        <f>AE130/maxTotalStarGen</f>
        <v>0.25161390924684235</v>
      </c>
      <c r="AG130" s="10">
        <f>(AA130+AF130)/2</f>
        <v>0.32300593074928008</v>
      </c>
      <c r="AH130" t="str">
        <f>CONCATENATE(D130,"|",B130,"|",C130,"|",E130,"|",ROUND(W130,2),"|",ROUND(X130,2),"|",ROUND(Y130,2),"|",ROUND(AB130,2),"|",ROUND(AC130,2),"|",ROUND(AD130,2),"|",ROUND(Z130,2),"|",ROUND(AE130,2),"|",ROUND(AA130*100,2),"%|",ROUND(AF130*100,2),"%|",ROUND(AG130*100,2),"%")</f>
        <v>Cu Chulainn (Prototype)|3|Lancer|QQABB|5.4|11.88|1.08|3.24|0.64|0.47|24.84|8.07|39.44%|25.16%|32.3%</v>
      </c>
    </row>
    <row r="131" spans="1:34" x14ac:dyDescent="0.25">
      <c r="A131">
        <v>22</v>
      </c>
      <c r="B131">
        <v>3</v>
      </c>
      <c r="C131" t="s">
        <v>91</v>
      </c>
      <c r="D131" t="s">
        <v>97</v>
      </c>
      <c r="E131" t="s">
        <v>36</v>
      </c>
      <c r="F131" s="3">
        <v>2</v>
      </c>
      <c r="G131" s="3">
        <v>2</v>
      </c>
      <c r="H131" s="4">
        <v>1</v>
      </c>
      <c r="I131" s="4">
        <v>2</v>
      </c>
      <c r="J131" s="2">
        <v>2</v>
      </c>
      <c r="K131" s="2">
        <v>1</v>
      </c>
      <c r="L131" s="6">
        <v>1.07</v>
      </c>
      <c r="M131" s="5">
        <v>12.1</v>
      </c>
      <c r="N131" s="3">
        <v>0</v>
      </c>
      <c r="O131" s="4">
        <v>0</v>
      </c>
      <c r="P131" s="2">
        <f>30/7</f>
        <v>4.2857142857142856</v>
      </c>
      <c r="Q131" s="6">
        <v>0</v>
      </c>
      <c r="R131" s="5">
        <v>0</v>
      </c>
      <c r="S131" s="6">
        <v>0</v>
      </c>
      <c r="T131" s="5">
        <v>0</v>
      </c>
      <c r="U131">
        <f>VLOOKUP(C131,classOrder,2,FALSE)</f>
        <v>4</v>
      </c>
      <c r="V131" s="7">
        <f>F131+H131+J131</f>
        <v>5</v>
      </c>
      <c r="W131" s="12">
        <f>L131*(firstCardNpBonus+VLOOKUP($W$1, cardNpValue, 2, FALSE)*(1+(N131/100))*(1+(Q131/100)))*G131</f>
        <v>5.3500000000000005</v>
      </c>
      <c r="X131" s="13">
        <f>L131*(firstCardNpBonus+VLOOKUP($X$1, cardNpValue, 2,FALSE)*(1+(O131/100))*(1+(Q131/100)))*I131</f>
        <v>11.770000000000001</v>
      </c>
      <c r="Y131" s="14">
        <f>L131*(firstCardNpBonus+VLOOKUP($Y$1, cardNpValue, 2,FALSE)*(1+(P131/100))*(1+(Q131/100)))*K131</f>
        <v>1.07</v>
      </c>
      <c r="Z131" s="15">
        <f>F131*W131+H131*X131+J131*Y131+S131</f>
        <v>24.610000000000003</v>
      </c>
      <c r="AA131" s="8">
        <f>Z131/maxTotalNpGain</f>
        <v>0.3907461193604983</v>
      </c>
      <c r="AB131" s="12">
        <f>((M131/100)+firstCardStarBonus+VLOOKUP($AB$1, cardStarValue, 2, FALSE)*(1+(N131/100))+(R131/100))*G131</f>
        <v>3.242</v>
      </c>
      <c r="AC131" s="13">
        <f>((M131/100)+firstCardStarBonus+VLOOKUP($AC$1, cardStarValue, 2,FALSE )*(1+(O131/100))+(R131/100))*I131</f>
        <v>0.64200000000000002</v>
      </c>
      <c r="AD131" s="14">
        <f>((M131/100)+firstCardStarBonus+VLOOKUP($AD$1, cardStarValue, 2, FALSE)*(1+(P131/100))+(R131/100))*K131</f>
        <v>0.47742857142857142</v>
      </c>
      <c r="AE131" s="11">
        <f>AB131*F131+AC131*H131+AD131*J131+T131</f>
        <v>8.080857142857143</v>
      </c>
      <c r="AF131" s="9">
        <f>AE131/maxTotalStarGen</f>
        <v>0.2520148804882939</v>
      </c>
      <c r="AG131" s="10">
        <f>(AA131+AF131)/2</f>
        <v>0.3213804999243961</v>
      </c>
      <c r="AH131" t="str">
        <f>CONCATENATE(D131,"|",B131,"|",C131,"|",E131,"|",ROUND(W131,2),"|",ROUND(X131,2),"|",ROUND(Y131,2),"|",ROUND(AB131,2),"|",ROUND(AC131,2),"|",ROUND(AD131,2),"|",ROUND(Z131,2),"|",ROUND(AE131,2),"|",ROUND(AA131*100,2),"%|",ROUND(AF131*100,2),"%|",ROUND(AG131*100,2),"%")</f>
        <v>Romulus|3|Lancer|QQABB|5.35|11.77|1.07|3.24|0.64|0.48|24.61|8.08|39.07%|25.2%|32.14%</v>
      </c>
    </row>
    <row r="132" spans="1:34" x14ac:dyDescent="0.25">
      <c r="A132">
        <v>17</v>
      </c>
      <c r="B132">
        <v>3</v>
      </c>
      <c r="C132" t="s">
        <v>91</v>
      </c>
      <c r="D132" t="s">
        <v>92</v>
      </c>
      <c r="E132" t="s">
        <v>36</v>
      </c>
      <c r="F132" s="3">
        <v>2</v>
      </c>
      <c r="G132" s="3">
        <v>2</v>
      </c>
      <c r="H132" s="4">
        <v>1</v>
      </c>
      <c r="I132" s="4">
        <v>2</v>
      </c>
      <c r="J132" s="2">
        <v>2</v>
      </c>
      <c r="K132" s="2">
        <v>1</v>
      </c>
      <c r="L132" s="6">
        <v>1.07</v>
      </c>
      <c r="M132" s="5">
        <v>12.1</v>
      </c>
      <c r="N132" s="3">
        <v>0</v>
      </c>
      <c r="O132" s="4">
        <v>0</v>
      </c>
      <c r="P132" s="2">
        <v>0</v>
      </c>
      <c r="Q132" s="6">
        <v>0</v>
      </c>
      <c r="R132" s="5">
        <v>0</v>
      </c>
      <c r="S132" s="6">
        <v>0</v>
      </c>
      <c r="T132" s="5">
        <v>0</v>
      </c>
      <c r="U132">
        <f>VLOOKUP(C132,classOrder,2,FALSE)</f>
        <v>4</v>
      </c>
      <c r="V132" s="7">
        <f>F132+H132+J132</f>
        <v>5</v>
      </c>
      <c r="W132" s="12">
        <f>L132*(firstCardNpBonus+VLOOKUP($W$1, cardNpValue, 2, FALSE)*(1+(N132/100))*(1+(Q132/100)))*G132</f>
        <v>5.3500000000000005</v>
      </c>
      <c r="X132" s="13">
        <f>L132*(firstCardNpBonus+VLOOKUP($X$1, cardNpValue, 2,FALSE)*(1+(O132/100))*(1+(Q132/100)))*I132</f>
        <v>11.770000000000001</v>
      </c>
      <c r="Y132" s="14">
        <f>L132*(firstCardNpBonus+VLOOKUP($Y$1, cardNpValue, 2,FALSE)*(1+(P132/100))*(1+(Q132/100)))*K132</f>
        <v>1.07</v>
      </c>
      <c r="Z132" s="15">
        <f>F132*W132+H132*X132+J132*Y132+S132</f>
        <v>24.610000000000003</v>
      </c>
      <c r="AA132" s="8">
        <f>Z132/maxTotalNpGain</f>
        <v>0.3907461193604983</v>
      </c>
      <c r="AB132" s="12">
        <f>((M132/100)+firstCardStarBonus+VLOOKUP($AB$1, cardStarValue, 2, FALSE)*(1+(N132/100))+(R132/100))*G132</f>
        <v>3.242</v>
      </c>
      <c r="AC132" s="13">
        <f>((M132/100)+firstCardStarBonus+VLOOKUP($AC$1, cardStarValue, 2,FALSE )*(1+(O132/100))+(R132/100))*I132</f>
        <v>0.64200000000000002</v>
      </c>
      <c r="AD132" s="14">
        <f>((M132/100)+firstCardStarBonus+VLOOKUP($AD$1, cardStarValue, 2, FALSE)*(1+(P132/100))+(R132/100))*K132</f>
        <v>0.47099999999999997</v>
      </c>
      <c r="AE132" s="11">
        <f>AB132*F132+AC132*H132+AD132*J132+T132</f>
        <v>8.0679999999999996</v>
      </c>
      <c r="AF132" s="9">
        <f>AE132/maxTotalStarGen</f>
        <v>0.25161390924684235</v>
      </c>
      <c r="AG132" s="10">
        <f>(AA132+AF132)/2</f>
        <v>0.32118001430367032</v>
      </c>
      <c r="AH132" t="str">
        <f>CONCATENATE(D132,"|",B132,"|",C132,"|",E132,"|",ROUND(W132,2),"|",ROUND(X132,2),"|",ROUND(Y132,2),"|",ROUND(AB132,2),"|",ROUND(AC132,2),"|",ROUND(AD132,2),"|",ROUND(Z132,2),"|",ROUND(AE132,2),"|",ROUND(AA132*100,2),"%|",ROUND(AF132*100,2),"%|",ROUND(AG132*100,2),"%")</f>
        <v>Cu Chulainn|3|Lancer|QQABB|5.35|11.77|1.07|3.24|0.64|0.47|24.61|8.07|39.07%|25.16%|32.12%</v>
      </c>
    </row>
    <row r="133" spans="1:34" x14ac:dyDescent="0.25">
      <c r="A133">
        <v>104</v>
      </c>
      <c r="B133">
        <v>3</v>
      </c>
      <c r="C133" t="s">
        <v>133</v>
      </c>
      <c r="D133" t="s">
        <v>150</v>
      </c>
      <c r="E133" t="s">
        <v>6</v>
      </c>
      <c r="F133" s="3">
        <v>1</v>
      </c>
      <c r="G133" s="3">
        <v>2</v>
      </c>
      <c r="H133" s="4">
        <v>2</v>
      </c>
      <c r="I133" s="4">
        <v>2</v>
      </c>
      <c r="J133" s="2">
        <v>2</v>
      </c>
      <c r="K133" s="2">
        <v>1</v>
      </c>
      <c r="L133" s="6">
        <v>0.9</v>
      </c>
      <c r="M133" s="5">
        <v>11</v>
      </c>
      <c r="N133" s="3">
        <f>50/5</f>
        <v>10</v>
      </c>
      <c r="O133" s="4">
        <f>8+50/5</f>
        <v>18</v>
      </c>
      <c r="P133" s="2">
        <f>50/5</f>
        <v>10</v>
      </c>
      <c r="Q133" s="6">
        <v>0</v>
      </c>
      <c r="R133" s="5">
        <v>0</v>
      </c>
      <c r="S133" s="6">
        <v>0</v>
      </c>
      <c r="T133" s="5">
        <v>0</v>
      </c>
      <c r="U133">
        <f>VLOOKUP(C133,classOrder,2,FALSE)</f>
        <v>6</v>
      </c>
      <c r="V133" s="7">
        <f>F133+H133+J133</f>
        <v>5</v>
      </c>
      <c r="W133" s="12">
        <f>L133*(firstCardNpBonus+VLOOKUP($W$1, cardNpValue, 2, FALSE)*(1+(N133/100))*(1+(Q133/100)))*G133</f>
        <v>4.7700000000000005</v>
      </c>
      <c r="X133" s="13">
        <f>L133*(firstCardNpBonus+VLOOKUP($X$1, cardNpValue, 2,FALSE)*(1+(O133/100))*(1+(Q133/100)))*I133</f>
        <v>11.357999999999999</v>
      </c>
      <c r="Y133" s="14">
        <f>L133*(firstCardNpBonus+VLOOKUP($Y$1, cardNpValue, 2,FALSE)*(1+(P133/100))*(1+(Q133/100)))*K133</f>
        <v>0.9</v>
      </c>
      <c r="Z133" s="15">
        <f>F133*W133+H133*X133+J133*Y133+S133</f>
        <v>29.285999999999998</v>
      </c>
      <c r="AA133" s="8">
        <f>Z133/maxTotalNpGain</f>
        <v>0.46498946979242389</v>
      </c>
      <c r="AB133" s="12">
        <f>((M133/100)+firstCardStarBonus+VLOOKUP($AB$1, cardStarValue, 2, FALSE)*(1+(N133/100))+(R133/100))*G133</f>
        <v>3.4800000000000004</v>
      </c>
      <c r="AC133" s="13">
        <f>((M133/100)+firstCardStarBonus+VLOOKUP($AC$1, cardStarValue, 2,FALSE )*(1+(O133/100))+(R133/100))*I133</f>
        <v>0.62</v>
      </c>
      <c r="AD133" s="14">
        <f>((M133/100)+firstCardStarBonus+VLOOKUP($AD$1, cardStarValue, 2, FALSE)*(1+(P133/100))+(R133/100))*K133</f>
        <v>0.47499999999999998</v>
      </c>
      <c r="AE133" s="11">
        <f>AB133*F133+AC133*H133+AD133*J133+T133</f>
        <v>5.6700000000000008</v>
      </c>
      <c r="AF133" s="9">
        <f>AE133/maxTotalStarGen</f>
        <v>0.17682831748011854</v>
      </c>
      <c r="AG133" s="10">
        <f>(AA133+AF133)/2</f>
        <v>0.32090889363627123</v>
      </c>
      <c r="AH133" t="str">
        <f>CONCATENATE(D133,"|",B133,"|",C133,"|",E133,"|",ROUND(W133,2),"|",ROUND(X133,2),"|",ROUND(Y133,2),"|",ROUND(AB133,2),"|",ROUND(AC133,2),"|",ROUND(AD133,2),"|",ROUND(Z133,2),"|",ROUND(AE133,2),"|",ROUND(AA133*100,2),"%|",ROUND(AF133*100,2),"%|",ROUND(AG133*100,2),"%")</f>
        <v>Geronimo|3|Caster|QAABB|4.77|11.36|0.9|3.48|0.62|0.48|29.29|5.67|46.5%|17.68%|32.09%</v>
      </c>
    </row>
    <row r="134" spans="1:34" x14ac:dyDescent="0.25">
      <c r="A134">
        <v>114</v>
      </c>
      <c r="B134">
        <v>5</v>
      </c>
      <c r="C134" t="s">
        <v>185</v>
      </c>
      <c r="D134" t="s">
        <v>204</v>
      </c>
      <c r="E134" t="s">
        <v>6</v>
      </c>
      <c r="F134" s="3">
        <v>1</v>
      </c>
      <c r="G134" s="3">
        <v>3</v>
      </c>
      <c r="H134" s="4">
        <v>2</v>
      </c>
      <c r="I134" s="4">
        <v>4</v>
      </c>
      <c r="J134" s="2">
        <v>2</v>
      </c>
      <c r="K134" s="2">
        <v>1</v>
      </c>
      <c r="L134" s="6">
        <v>0.46</v>
      </c>
      <c r="M134" s="5">
        <v>4.9000000000000004</v>
      </c>
      <c r="N134" s="3">
        <v>11</v>
      </c>
      <c r="O134" s="4">
        <v>0</v>
      </c>
      <c r="P134" s="2">
        <f>12+30/6</f>
        <v>17</v>
      </c>
      <c r="Q134" s="6">
        <v>0</v>
      </c>
      <c r="R134" s="5">
        <v>0</v>
      </c>
      <c r="S134" s="6">
        <v>0</v>
      </c>
      <c r="T134" s="5">
        <v>0</v>
      </c>
      <c r="U134">
        <f>VLOOKUP(C134,classOrder,2,FALSE)</f>
        <v>8</v>
      </c>
      <c r="V134" s="7">
        <f>F134+H134+J134</f>
        <v>5</v>
      </c>
      <c r="W134" s="12">
        <f>L134*(firstCardNpBonus+VLOOKUP($W$1, cardNpValue, 2, FALSE)*(1+(N134/100))*(1+(Q134/100)))*G134</f>
        <v>3.6776999999999997</v>
      </c>
      <c r="X134" s="13">
        <f>L134*(firstCardNpBonus+VLOOKUP($X$1, cardNpValue, 2,FALSE)*(1+(O134/100))*(1+(Q134/100)))*I134</f>
        <v>10.120000000000001</v>
      </c>
      <c r="Y134" s="14">
        <f>L134*(firstCardNpBonus+VLOOKUP($Y$1, cardNpValue, 2,FALSE)*(1+(P134/100))*(1+(Q134/100)))*K134</f>
        <v>0.46</v>
      </c>
      <c r="Z134" s="15">
        <f>F134*W134+H134*X134+J134*Y134+S134</f>
        <v>24.837700000000005</v>
      </c>
      <c r="AA134" s="8">
        <f>Z134/maxTotalNpGain</f>
        <v>0.39436143392280576</v>
      </c>
      <c r="AB134" s="12">
        <f>((M134/100)+firstCardStarBonus+VLOOKUP($AB$1, cardStarValue, 2, FALSE)*(1+(N134/100))+(R134/100))*G134</f>
        <v>5.0760000000000005</v>
      </c>
      <c r="AC134" s="13">
        <f>((M134/100)+firstCardStarBonus+VLOOKUP($AC$1, cardStarValue, 2,FALSE )*(1+(O134/100))+(R134/100))*I134</f>
        <v>0.996</v>
      </c>
      <c r="AD134" s="14">
        <f>((M134/100)+firstCardStarBonus+VLOOKUP($AD$1, cardStarValue, 2, FALSE)*(1+(P134/100))+(R134/100))*K134</f>
        <v>0.42449999999999999</v>
      </c>
      <c r="AE134" s="11">
        <f>AB134*F134+AC134*H134+AD134*J134+T134</f>
        <v>7.9170000000000007</v>
      </c>
      <c r="AF134" s="9">
        <f>AE134/maxTotalStarGen</f>
        <v>0.24690472477779515</v>
      </c>
      <c r="AG134" s="10">
        <f>(AA134+AF134)/2</f>
        <v>0.32063307935030044</v>
      </c>
      <c r="AH134" t="str">
        <f>CONCATENATE(D134,"|",B134,"|",C134,"|",E134,"|",ROUND(W134,2),"|",ROUND(X134,2),"|",ROUND(Y134,2),"|",ROUND(AB134,2),"|",ROUND(AC134,2),"|",ROUND(AD134,2),"|",ROUND(Z134,2),"|",ROUND(AE134,2),"|",ROUND(AA134*100,2),"%|",ROUND(AF134*100,2),"%|",ROUND(AG134*100,2),"%")</f>
        <v>Minamoto no Yorimitsu|5|Berserker|QAABB|3.68|10.12|0.46|5.08|1|0.42|24.84|7.92|39.44%|24.69%|32.06%</v>
      </c>
    </row>
    <row r="135" spans="1:34" x14ac:dyDescent="0.25">
      <c r="A135">
        <v>116</v>
      </c>
      <c r="B135">
        <v>4</v>
      </c>
      <c r="C135" t="s">
        <v>185</v>
      </c>
      <c r="D135" t="s">
        <v>205</v>
      </c>
      <c r="E135" t="s">
        <v>50</v>
      </c>
      <c r="F135" s="3">
        <v>1</v>
      </c>
      <c r="G135" s="3">
        <v>4</v>
      </c>
      <c r="H135" s="4">
        <v>1</v>
      </c>
      <c r="I135" s="4">
        <v>2</v>
      </c>
      <c r="J135" s="2">
        <v>3</v>
      </c>
      <c r="K135" s="2">
        <v>1</v>
      </c>
      <c r="L135" s="6">
        <v>1.03</v>
      </c>
      <c r="M135" s="5">
        <v>4.9000000000000004</v>
      </c>
      <c r="N135" s="3">
        <v>0</v>
      </c>
      <c r="O135" s="4">
        <v>0</v>
      </c>
      <c r="P135" s="2">
        <v>8</v>
      </c>
      <c r="Q135" s="6">
        <v>0</v>
      </c>
      <c r="R135" s="5">
        <v>0</v>
      </c>
      <c r="S135" s="6">
        <v>0</v>
      </c>
      <c r="T135" s="5">
        <v>0</v>
      </c>
      <c r="U135">
        <f>VLOOKUP(C135,classOrder,2,FALSE)</f>
        <v>8</v>
      </c>
      <c r="V135" s="7">
        <f>F135+H135+J135</f>
        <v>5</v>
      </c>
      <c r="W135" s="12">
        <f>L135*(firstCardNpBonus+VLOOKUP($W$1, cardNpValue, 2, FALSE)*(1+(N135/100))*(1+(Q135/100)))*G135</f>
        <v>10.3</v>
      </c>
      <c r="X135" s="13">
        <f>L135*(firstCardNpBonus+VLOOKUP($X$1, cardNpValue, 2,FALSE)*(1+(O135/100))*(1+(Q135/100)))*I135</f>
        <v>11.33</v>
      </c>
      <c r="Y135" s="14">
        <f>L135*(firstCardNpBonus+VLOOKUP($Y$1, cardNpValue, 2,FALSE)*(1+(P135/100))*(1+(Q135/100)))*K135</f>
        <v>1.03</v>
      </c>
      <c r="Z135" s="15">
        <f>F135*W135+H135*X135+J135*Y135+S135</f>
        <v>24.720000000000002</v>
      </c>
      <c r="AA135" s="8">
        <f>Z135/maxTotalNpGain</f>
        <v>0.39249264813455986</v>
      </c>
      <c r="AB135" s="12">
        <f>((M135/100)+firstCardStarBonus+VLOOKUP($AB$1, cardStarValue, 2, FALSE)*(1+(N135/100))+(R135/100))*G135</f>
        <v>6.1959999999999997</v>
      </c>
      <c r="AC135" s="13">
        <f>((M135/100)+firstCardStarBonus+VLOOKUP($AC$1, cardStarValue, 2,FALSE )*(1+(O135/100))+(R135/100))*I135</f>
        <v>0.498</v>
      </c>
      <c r="AD135" s="14">
        <f>((M135/100)+firstCardStarBonus+VLOOKUP($AD$1, cardStarValue, 2, FALSE)*(1+(P135/100))+(R135/100))*K135</f>
        <v>0.41100000000000003</v>
      </c>
      <c r="AE135" s="11">
        <f>AB135*F135+AC135*H135+AD135*J135+T135</f>
        <v>7.9269999999999996</v>
      </c>
      <c r="AF135" s="9">
        <f>AE135/maxTotalStarGen</f>
        <v>0.24721659129892407</v>
      </c>
      <c r="AG135" s="10">
        <f>(AA135+AF135)/2</f>
        <v>0.31985461971674195</v>
      </c>
      <c r="AH135" t="str">
        <f>CONCATENATE(D135,"|",B135,"|",C135,"|",E135,"|",ROUND(W135,2),"|",ROUND(X135,2),"|",ROUND(Y135,2),"|",ROUND(AB135,2),"|",ROUND(AC135,2),"|",ROUND(AD135,2),"|",ROUND(Z135,2),"|",ROUND(AE135,2),"|",ROUND(AA135*100,2),"%|",ROUND(AF135*100,2),"%|",ROUND(AG135*100,2),"%")</f>
        <v>Ibaraki Douji|4|Berserker|QABBB|10.3|11.33|1.03|6.2|0.5|0.41|24.72|7.93|39.25%|24.72%|31.99%</v>
      </c>
    </row>
    <row r="136" spans="1:34" x14ac:dyDescent="0.25">
      <c r="A136">
        <v>63</v>
      </c>
      <c r="B136">
        <v>3</v>
      </c>
      <c r="C136" t="s">
        <v>63</v>
      </c>
      <c r="D136" t="s">
        <v>72</v>
      </c>
      <c r="E136" t="s">
        <v>64</v>
      </c>
      <c r="F136" s="3">
        <v>1</v>
      </c>
      <c r="G136" s="3">
        <v>2</v>
      </c>
      <c r="H136" s="4">
        <v>3</v>
      </c>
      <c r="I136" s="4">
        <v>2</v>
      </c>
      <c r="J136" s="2">
        <v>1</v>
      </c>
      <c r="K136" s="2">
        <v>1</v>
      </c>
      <c r="L136" s="6">
        <v>0.76</v>
      </c>
      <c r="M136" s="5">
        <v>8</v>
      </c>
      <c r="N136" s="3">
        <v>0</v>
      </c>
      <c r="O136" s="4">
        <v>0</v>
      </c>
      <c r="P136" s="2">
        <v>0</v>
      </c>
      <c r="Q136" s="6">
        <v>0</v>
      </c>
      <c r="R136" s="5">
        <v>0</v>
      </c>
      <c r="S136" s="6">
        <v>0</v>
      </c>
      <c r="T136" s="5">
        <v>0</v>
      </c>
      <c r="U136">
        <f>VLOOKUP(C136,classOrder,2,FALSE)</f>
        <v>3</v>
      </c>
      <c r="V136" s="7">
        <f>F136+H136+J136</f>
        <v>5</v>
      </c>
      <c r="W136" s="12">
        <f>L136*(firstCardNpBonus+VLOOKUP($W$1, cardNpValue, 2, FALSE)*(1+(N136/100))*(1+(Q136/100)))*G136</f>
        <v>3.8</v>
      </c>
      <c r="X136" s="13">
        <f>L136*(firstCardNpBonus+VLOOKUP($X$1, cardNpValue, 2,FALSE)*(1+(O136/100))*(1+(Q136/100)))*I136</f>
        <v>8.36</v>
      </c>
      <c r="Y136" s="14">
        <f>L136*(firstCardNpBonus+VLOOKUP($Y$1, cardNpValue, 2,FALSE)*(1+(P136/100))*(1+(Q136/100)))*K136</f>
        <v>0.76</v>
      </c>
      <c r="Z136" s="15">
        <f>F136*W136+H136*X136+J136*Y136+S136</f>
        <v>29.64</v>
      </c>
      <c r="AA136" s="8">
        <f>Z136/maxTotalNpGain</f>
        <v>0.47061011693804017</v>
      </c>
      <c r="AB136" s="12">
        <f>((M136/100)+firstCardStarBonus+VLOOKUP($AB$1, cardStarValue, 2, FALSE)*(1+(N136/100))+(R136/100))*G136</f>
        <v>3.16</v>
      </c>
      <c r="AC136" s="13">
        <f>((M136/100)+firstCardStarBonus+VLOOKUP($AC$1, cardStarValue, 2,FALSE )*(1+(O136/100))+(R136/100))*I136</f>
        <v>0.56000000000000005</v>
      </c>
      <c r="AD136" s="14">
        <f>((M136/100)+firstCardStarBonus+VLOOKUP($AD$1, cardStarValue, 2, FALSE)*(1+(P136/100))+(R136/100))*K136</f>
        <v>0.43000000000000005</v>
      </c>
      <c r="AE136" s="11">
        <f>AB136*F136+AC136*H136+AD136*J136+T136</f>
        <v>5.27</v>
      </c>
      <c r="AF136" s="9">
        <f>AE136/maxTotalStarGen</f>
        <v>0.16435365663496024</v>
      </c>
      <c r="AG136" s="10">
        <f>(AA136+AF136)/2</f>
        <v>0.31748188678650019</v>
      </c>
      <c r="AH136" t="str">
        <f>CONCATENATE(D136,"|",B136,"|",C136,"|",E136,"|",ROUND(W136,2),"|",ROUND(X136,2),"|",ROUND(Y136,2),"|",ROUND(AB136,2),"|",ROUND(AC136,2),"|",ROUND(AD136,2),"|",ROUND(Z136,2),"|",ROUND(AE136,2),"|",ROUND(AA136*100,2),"%|",ROUND(AF136*100,2),"%|",ROUND(AG136*100,2),"%")</f>
        <v>David|3|Archer|QAAAB|3.8|8.36|0.76|3.16|0.56|0.43|29.64|5.27|47.06%|16.44%|31.75%</v>
      </c>
    </row>
    <row r="137" spans="1:34" x14ac:dyDescent="0.25">
      <c r="A137">
        <v>80</v>
      </c>
      <c r="B137">
        <v>3</v>
      </c>
      <c r="C137" t="s">
        <v>133</v>
      </c>
      <c r="D137" t="s">
        <v>147</v>
      </c>
      <c r="E137" t="s">
        <v>6</v>
      </c>
      <c r="F137" s="3">
        <v>1</v>
      </c>
      <c r="G137" s="3">
        <v>2</v>
      </c>
      <c r="H137" s="4">
        <v>2</v>
      </c>
      <c r="I137" s="4">
        <v>2</v>
      </c>
      <c r="J137" s="2">
        <v>2</v>
      </c>
      <c r="K137" s="2">
        <v>1</v>
      </c>
      <c r="L137" s="6">
        <v>0.91</v>
      </c>
      <c r="M137" s="5">
        <v>10.8</v>
      </c>
      <c r="N137" s="3">
        <v>0</v>
      </c>
      <c r="O137" s="4">
        <v>0</v>
      </c>
      <c r="P137" s="2">
        <v>0</v>
      </c>
      <c r="Q137" s="6">
        <f>30*3/6</f>
        <v>15</v>
      </c>
      <c r="R137" s="5">
        <v>0</v>
      </c>
      <c r="S137" s="6">
        <v>0</v>
      </c>
      <c r="T137" s="5">
        <v>0</v>
      </c>
      <c r="U137">
        <f>VLOOKUP(C137,classOrder,2,FALSE)</f>
        <v>6</v>
      </c>
      <c r="V137" s="7">
        <f>F137+H137+J137</f>
        <v>5</v>
      </c>
      <c r="W137" s="12">
        <f>L137*(firstCardNpBonus+VLOOKUP($W$1, cardNpValue, 2, FALSE)*(1+(N137/100))*(1+(Q137/100)))*G137</f>
        <v>4.9594999999999994</v>
      </c>
      <c r="X137" s="13">
        <f>L137*(firstCardNpBonus+VLOOKUP($X$1, cardNpValue, 2,FALSE)*(1+(O137/100))*(1+(Q137/100)))*I137</f>
        <v>11.2385</v>
      </c>
      <c r="Y137" s="14">
        <f>L137*(firstCardNpBonus+VLOOKUP($Y$1, cardNpValue, 2,FALSE)*(1+(P137/100))*(1+(Q137/100)))*K137</f>
        <v>0.91</v>
      </c>
      <c r="Z137" s="15">
        <f>F137*W137+H137*X137+J137*Y137+S137</f>
        <v>29.256499999999999</v>
      </c>
      <c r="AA137" s="8">
        <f>Z137/maxTotalNpGain</f>
        <v>0.46452108253028923</v>
      </c>
      <c r="AB137" s="12">
        <f>((M137/100)+firstCardStarBonus+VLOOKUP($AB$1, cardStarValue, 2, FALSE)*(1+(N137/100))+(R137/100))*G137</f>
        <v>3.2160000000000002</v>
      </c>
      <c r="AC137" s="13">
        <f>((M137/100)+firstCardStarBonus+VLOOKUP($AC$1, cardStarValue, 2,FALSE )*(1+(O137/100))+(R137/100))*I137</f>
        <v>0.6160000000000001</v>
      </c>
      <c r="AD137" s="14">
        <f>((M137/100)+firstCardStarBonus+VLOOKUP($AD$1, cardStarValue, 2, FALSE)*(1+(P137/100))+(R137/100))*K137</f>
        <v>0.45800000000000007</v>
      </c>
      <c r="AE137" s="11">
        <f>AB137*F137+AC137*H137+AD137*J137+T137</f>
        <v>5.3640000000000008</v>
      </c>
      <c r="AF137" s="9">
        <f>AE137/maxTotalStarGen</f>
        <v>0.16728520193357246</v>
      </c>
      <c r="AG137" s="10">
        <f>(AA137+AF137)/2</f>
        <v>0.31590314223193083</v>
      </c>
      <c r="AH137" t="str">
        <f>CONCATENATE(D137,"|",B137,"|",C137,"|",E137,"|",ROUND(W137,2),"|",ROUND(X137,2),"|",ROUND(Y137,2),"|",ROUND(AB137,2),"|",ROUND(AC137,2),"|",ROUND(AD137,2),"|",ROUND(Z137,2),"|",ROUND(AE137,2),"|",ROUND(AA137*100,2),"%|",ROUND(AF137*100,2),"%|",ROUND(AG137*100,2),"%")</f>
        <v>Charles Babbage|3|Caster|QAABB|4.96|11.24|0.91|3.22|0.62|0.46|29.26|5.36|46.45%|16.73%|31.59%</v>
      </c>
    </row>
    <row r="138" spans="1:34" x14ac:dyDescent="0.25">
      <c r="A138">
        <v>76</v>
      </c>
      <c r="B138">
        <v>5</v>
      </c>
      <c r="C138" t="s">
        <v>4</v>
      </c>
      <c r="D138" t="s">
        <v>51</v>
      </c>
      <c r="E138" t="s">
        <v>6</v>
      </c>
      <c r="F138" s="3">
        <v>1</v>
      </c>
      <c r="G138" s="3">
        <v>2</v>
      </c>
      <c r="H138" s="4">
        <v>2</v>
      </c>
      <c r="I138" s="4">
        <v>3</v>
      </c>
      <c r="J138" s="2">
        <v>2</v>
      </c>
      <c r="K138" s="2">
        <v>1</v>
      </c>
      <c r="L138" s="6">
        <v>0.56000000000000005</v>
      </c>
      <c r="M138" s="5">
        <v>10</v>
      </c>
      <c r="N138" s="3">
        <v>8</v>
      </c>
      <c r="O138" s="4">
        <v>0</v>
      </c>
      <c r="P138" s="2">
        <f>50/5</f>
        <v>10</v>
      </c>
      <c r="Q138" s="6">
        <v>0</v>
      </c>
      <c r="R138" s="5">
        <v>0</v>
      </c>
      <c r="S138" s="6">
        <f>30/6</f>
        <v>5</v>
      </c>
      <c r="T138" s="5">
        <v>0</v>
      </c>
      <c r="U138">
        <f>VLOOKUP(C138,classOrder,2,FALSE)</f>
        <v>2</v>
      </c>
      <c r="V138" s="7">
        <f>F138+H138+J138</f>
        <v>5</v>
      </c>
      <c r="W138" s="12">
        <f>L138*(firstCardNpBonus+VLOOKUP($W$1, cardNpValue, 2, FALSE)*(1+(N138/100))*(1+(Q138/100)))*G138</f>
        <v>2.9344000000000006</v>
      </c>
      <c r="X138" s="13">
        <f>L138*(firstCardNpBonus+VLOOKUP($X$1, cardNpValue, 2,FALSE)*(1+(O138/100))*(1+(Q138/100)))*I138</f>
        <v>9.24</v>
      </c>
      <c r="Y138" s="14">
        <f>L138*(firstCardNpBonus+VLOOKUP($Y$1, cardNpValue, 2,FALSE)*(1+(P138/100))*(1+(Q138/100)))*K138</f>
        <v>0.56000000000000005</v>
      </c>
      <c r="Z138" s="15">
        <f>F138*W138+H138*X138+J138*Y138+S138</f>
        <v>27.534400000000002</v>
      </c>
      <c r="AA138" s="8">
        <f>Z138/maxTotalNpGain</f>
        <v>0.43717838069564013</v>
      </c>
      <c r="AB138" s="12">
        <f>((M138/100)+firstCardStarBonus+VLOOKUP($AB$1, cardStarValue, 2, FALSE)*(1+(N138/100))+(R138/100))*G138</f>
        <v>3.4080000000000004</v>
      </c>
      <c r="AC138" s="13">
        <f>((M138/100)+firstCardStarBonus+VLOOKUP($AC$1, cardStarValue, 2,FALSE )*(1+(O138/100))+(R138/100))*I138</f>
        <v>0.90000000000000013</v>
      </c>
      <c r="AD138" s="14">
        <f>((M138/100)+firstCardStarBonus+VLOOKUP($AD$1, cardStarValue, 2, FALSE)*(1+(P138/100))+(R138/100))*K138</f>
        <v>0.46500000000000008</v>
      </c>
      <c r="AE138" s="11">
        <f>AB138*F138+AC138*H138+AD138*J138+T138</f>
        <v>6.1379999999999999</v>
      </c>
      <c r="AF138" s="9">
        <f>AE138/maxTotalStarGen</f>
        <v>0.19142367066895369</v>
      </c>
      <c r="AG138" s="10">
        <f>(AA138+AF138)/2</f>
        <v>0.3143010256822969</v>
      </c>
      <c r="AH138" t="str">
        <f>CONCATENATE(D138,"|",B138,"|",C138,"|",E138,"|",ROUND(W138,2),"|",ROUND(X138,2),"|",ROUND(Y138,2),"|",ROUND(AB138,2),"|",ROUND(AC138,2),"|",ROUND(AD138,2),"|",ROUND(Z138,2),"|",ROUND(AE138,2),"|",ROUND(AA138*100,2),"%|",ROUND(AF138*100,2),"%|",ROUND(AG138*100,2),"%")</f>
        <v>Mordred|5|Saber|QAABB|2.93|9.24|0.56|3.41|0.9|0.47|27.53|6.14|43.72%|19.14%|31.43%</v>
      </c>
    </row>
    <row r="139" spans="1:34" x14ac:dyDescent="0.25">
      <c r="A139">
        <v>123</v>
      </c>
      <c r="B139">
        <v>4</v>
      </c>
      <c r="C139" t="s">
        <v>4</v>
      </c>
      <c r="D139" t="s">
        <v>56</v>
      </c>
      <c r="E139" t="s">
        <v>50</v>
      </c>
      <c r="F139" s="3">
        <v>1</v>
      </c>
      <c r="G139" s="3">
        <v>2</v>
      </c>
      <c r="H139" s="4">
        <v>1</v>
      </c>
      <c r="I139" s="4">
        <v>2</v>
      </c>
      <c r="J139" s="2">
        <v>3</v>
      </c>
      <c r="K139" s="2">
        <v>1</v>
      </c>
      <c r="L139" s="6">
        <v>1.1399999999999999</v>
      </c>
      <c r="M139" s="5">
        <v>10</v>
      </c>
      <c r="N139" s="3">
        <v>8</v>
      </c>
      <c r="O139" s="4">
        <v>0</v>
      </c>
      <c r="P139" s="2">
        <f>30/5</f>
        <v>6</v>
      </c>
      <c r="Q139" s="6">
        <v>0</v>
      </c>
      <c r="R139" s="5">
        <v>0</v>
      </c>
      <c r="S139" s="6">
        <f>20/6</f>
        <v>3.3333333333333335</v>
      </c>
      <c r="T139" s="5">
        <f>10/6</f>
        <v>1.6666666666666667</v>
      </c>
      <c r="U139">
        <f>VLOOKUP(C139,classOrder,2,FALSE)</f>
        <v>2</v>
      </c>
      <c r="V139" s="7">
        <f>F139+H139+J139</f>
        <v>5</v>
      </c>
      <c r="W139" s="12">
        <f>L139*(firstCardNpBonus+VLOOKUP($W$1, cardNpValue, 2, FALSE)*(1+(N139/100))*(1+(Q139/100)))*G139</f>
        <v>5.9735999999999994</v>
      </c>
      <c r="X139" s="13">
        <f>L139*(firstCardNpBonus+VLOOKUP($X$1, cardNpValue, 2,FALSE)*(1+(O139/100))*(1+(Q139/100)))*I139</f>
        <v>12.54</v>
      </c>
      <c r="Y139" s="14">
        <f>L139*(firstCardNpBonus+VLOOKUP($Y$1, cardNpValue, 2,FALSE)*(1+(P139/100))*(1+(Q139/100)))*K139</f>
        <v>1.1399999999999999</v>
      </c>
      <c r="Z139" s="15">
        <f>F139*W139+H139*X139+J139*Y139+S139</f>
        <v>25.266933333333331</v>
      </c>
      <c r="AA139" s="8">
        <f>Z139/maxTotalNpGain</f>
        <v>0.40117660089965129</v>
      </c>
      <c r="AB139" s="12">
        <f>((M139/100)+firstCardStarBonus+VLOOKUP($AB$1, cardStarValue, 2, FALSE)*(1+(N139/100))+(R139/100))*G139</f>
        <v>3.4080000000000004</v>
      </c>
      <c r="AC139" s="13">
        <f>((M139/100)+firstCardStarBonus+VLOOKUP($AC$1, cardStarValue, 2,FALSE )*(1+(O139/100))+(R139/100))*I139</f>
        <v>0.60000000000000009</v>
      </c>
      <c r="AD139" s="14">
        <f>((M139/100)+firstCardStarBonus+VLOOKUP($AD$1, cardStarValue, 2, FALSE)*(1+(P139/100))+(R139/100))*K139</f>
        <v>0.45900000000000007</v>
      </c>
      <c r="AE139" s="11">
        <f>AB139*F139+AC139*H139+AD139*J139+T139</f>
        <v>7.0516666666666685</v>
      </c>
      <c r="AF139" s="9">
        <f>AE139/maxTotalStarGen</f>
        <v>0.21991787514943612</v>
      </c>
      <c r="AG139" s="10">
        <f>(AA139+AF139)/2</f>
        <v>0.3105472380245437</v>
      </c>
      <c r="AH139" t="str">
        <f>CONCATENATE(D139,"|",B139,"|",C139,"|",E139,"|",ROUND(W139,2),"|",ROUND(X139,2),"|",ROUND(Y139,2),"|",ROUND(AB139,2),"|",ROUND(AC139,2),"|",ROUND(AD139,2),"|",ROUND(Z139,2),"|",ROUND(AE139,2),"|",ROUND(AA139*100,2),"%|",ROUND(AF139*100,2),"%|",ROUND(AG139*100,2),"%")</f>
        <v>Gawain|4|Saber|QABBB|5.97|12.54|1.14|3.41|0.6|0.46|25.27|7.05|40.12%|21.99%|31.05%</v>
      </c>
    </row>
    <row r="140" spans="1:34" x14ac:dyDescent="0.25">
      <c r="A140">
        <v>9</v>
      </c>
      <c r="B140">
        <v>3</v>
      </c>
      <c r="C140" t="s">
        <v>4</v>
      </c>
      <c r="D140" t="s">
        <v>46</v>
      </c>
      <c r="E140" t="s">
        <v>6</v>
      </c>
      <c r="F140" s="3">
        <v>1</v>
      </c>
      <c r="G140" s="3">
        <v>2</v>
      </c>
      <c r="H140" s="4">
        <v>2</v>
      </c>
      <c r="I140" s="4">
        <v>2</v>
      </c>
      <c r="J140" s="2">
        <v>2</v>
      </c>
      <c r="K140" s="2">
        <v>1</v>
      </c>
      <c r="L140" s="6">
        <v>0.82</v>
      </c>
      <c r="M140" s="5">
        <v>9.9</v>
      </c>
      <c r="N140" s="3">
        <v>8</v>
      </c>
      <c r="O140" s="4">
        <v>0</v>
      </c>
      <c r="P140" s="2">
        <f>12+40*5/5</f>
        <v>52</v>
      </c>
      <c r="Q140" s="6">
        <f>45*3/6</f>
        <v>22.5</v>
      </c>
      <c r="R140" s="5">
        <v>0</v>
      </c>
      <c r="S140" s="6">
        <v>0</v>
      </c>
      <c r="T140" s="5">
        <v>0</v>
      </c>
      <c r="U140">
        <f>VLOOKUP(C140,classOrder,2,FALSE)</f>
        <v>2</v>
      </c>
      <c r="V140" s="7">
        <f>F140+H140+J140</f>
        <v>5</v>
      </c>
      <c r="W140" s="12">
        <f>L140*(firstCardNpBonus+VLOOKUP($W$1, cardNpValue, 2, FALSE)*(1+(N140/100))*(1+(Q140/100)))*G140</f>
        <v>4.8945800000000004</v>
      </c>
      <c r="X140" s="13">
        <f>L140*(firstCardNpBonus+VLOOKUP($X$1, cardNpValue, 2,FALSE)*(1+(O140/100))*(1+(Q140/100)))*I140</f>
        <v>10.6805</v>
      </c>
      <c r="Y140" s="14">
        <f>L140*(firstCardNpBonus+VLOOKUP($Y$1, cardNpValue, 2,FALSE)*(1+(P140/100))*(1+(Q140/100)))*K140</f>
        <v>0.82</v>
      </c>
      <c r="Z140" s="15">
        <f>F140*W140+H140*X140+J140*Y140+S140</f>
        <v>27.895580000000002</v>
      </c>
      <c r="AA140" s="8">
        <f>Z140/maxTotalNpGain</f>
        <v>0.44291302853759973</v>
      </c>
      <c r="AB140" s="12">
        <f>((M140/100)+firstCardStarBonus+VLOOKUP($AB$1, cardStarValue, 2, FALSE)*(1+(N140/100))+(R140/100))*G140</f>
        <v>3.4060000000000006</v>
      </c>
      <c r="AC140" s="13">
        <f>((M140/100)+firstCardStarBonus+VLOOKUP($AC$1, cardStarValue, 2,FALSE )*(1+(O140/100))+(R140/100))*I140</f>
        <v>0.59800000000000009</v>
      </c>
      <c r="AD140" s="14">
        <f>((M140/100)+firstCardStarBonus+VLOOKUP($AD$1, cardStarValue, 2, FALSE)*(1+(P140/100))+(R140/100))*K140</f>
        <v>0.52700000000000002</v>
      </c>
      <c r="AE140" s="11">
        <f>AB140*F140+AC140*H140+AD140*J140+T140</f>
        <v>5.6560000000000006</v>
      </c>
      <c r="AF140" s="9">
        <f>AE140/maxTotalStarGen</f>
        <v>0.176391704350538</v>
      </c>
      <c r="AG140" s="10">
        <f>(AA140+AF140)/2</f>
        <v>0.30965236644406885</v>
      </c>
      <c r="AH140" t="str">
        <f>CONCATENATE(D140,"|",B140,"|",C140,"|",E140,"|",ROUND(W140,2),"|",ROUND(X140,2),"|",ROUND(Y140,2),"|",ROUND(AB140,2),"|",ROUND(AC140,2),"|",ROUND(AD140,2),"|",ROUND(Z140,2),"|",ROUND(AE140,2),"|",ROUND(AA140*100,2),"%|",ROUND(AF140*100,2),"%|",ROUND(AG140*100,2),"%")</f>
        <v>Gilles de Rais (Saber)|3|Saber|QAABB|4.89|10.68|0.82|3.41|0.6|0.53|27.9|5.66|44.29%|17.64%|30.97%</v>
      </c>
    </row>
    <row r="141" spans="1:34" x14ac:dyDescent="0.25">
      <c r="A141">
        <v>87</v>
      </c>
      <c r="B141">
        <v>4</v>
      </c>
      <c r="C141" t="s">
        <v>91</v>
      </c>
      <c r="D141" t="s">
        <v>102</v>
      </c>
      <c r="E141" t="s">
        <v>67</v>
      </c>
      <c r="F141" s="3">
        <v>2</v>
      </c>
      <c r="G141" s="3">
        <v>2</v>
      </c>
      <c r="H141" s="4">
        <v>2</v>
      </c>
      <c r="I141" s="4">
        <v>2</v>
      </c>
      <c r="J141" s="2">
        <v>1</v>
      </c>
      <c r="K141" s="2">
        <v>1</v>
      </c>
      <c r="L141" s="6">
        <v>0.55000000000000004</v>
      </c>
      <c r="M141" s="5">
        <v>12.3</v>
      </c>
      <c r="N141" s="3">
        <v>0</v>
      </c>
      <c r="O141" s="4">
        <f>40/5</f>
        <v>8</v>
      </c>
      <c r="P141" s="2">
        <v>0</v>
      </c>
      <c r="Q141" s="6">
        <v>0</v>
      </c>
      <c r="R141" s="5">
        <f>38*3/6</f>
        <v>19</v>
      </c>
      <c r="S141" s="6">
        <v>0</v>
      </c>
      <c r="T141" s="5">
        <v>0</v>
      </c>
      <c r="U141">
        <f>VLOOKUP(C141,classOrder,2,FALSE)</f>
        <v>4</v>
      </c>
      <c r="V141" s="7">
        <f>F141+H141+J141</f>
        <v>5</v>
      </c>
      <c r="W141" s="12">
        <f>L141*(firstCardNpBonus+VLOOKUP($W$1, cardNpValue, 2, FALSE)*(1+(N141/100))*(1+(Q141/100)))*G141</f>
        <v>2.75</v>
      </c>
      <c r="X141" s="13">
        <f>L141*(firstCardNpBonus+VLOOKUP($X$1, cardNpValue, 2,FALSE)*(1+(O141/100))*(1+(Q141/100)))*I141</f>
        <v>6.4460000000000006</v>
      </c>
      <c r="Y141" s="14">
        <f>L141*(firstCardNpBonus+VLOOKUP($Y$1, cardNpValue, 2,FALSE)*(1+(P141/100))*(1+(Q141/100)))*K141</f>
        <v>0.55000000000000004</v>
      </c>
      <c r="Z141" s="15">
        <f>F141*W141+H141*X141+J141*Y141+S141</f>
        <v>18.942000000000004</v>
      </c>
      <c r="AA141" s="8">
        <f>Z141/maxTotalNpGain</f>
        <v>0.30075225489339941</v>
      </c>
      <c r="AB141" s="12">
        <f>((M141/100)+firstCardStarBonus+VLOOKUP($AB$1, cardStarValue, 2, FALSE)*(1+(N141/100))+(R141/100))*G141</f>
        <v>3.6259999999999999</v>
      </c>
      <c r="AC141" s="13">
        <f>((M141/100)+firstCardStarBonus+VLOOKUP($AC$1, cardStarValue, 2,FALSE )*(1+(O141/100))+(R141/100))*I141</f>
        <v>1.026</v>
      </c>
      <c r="AD141" s="14">
        <f>((M141/100)+firstCardStarBonus+VLOOKUP($AD$1, cardStarValue, 2, FALSE)*(1+(P141/100))+(R141/100))*K141</f>
        <v>0.66300000000000003</v>
      </c>
      <c r="AE141" s="11">
        <f>AB141*F141+AC141*H141+AD141*J141+T141</f>
        <v>9.9670000000000005</v>
      </c>
      <c r="AF141" s="9">
        <f>AE141/maxTotalStarGen</f>
        <v>0.31083736160923131</v>
      </c>
      <c r="AG141" s="10">
        <f>(AA141+AF141)/2</f>
        <v>0.30579480825131533</v>
      </c>
      <c r="AH141" t="str">
        <f>CONCATENATE(D141,"|",B141,"|",C141,"|",E141,"|",ROUND(W141,2),"|",ROUND(X141,2),"|",ROUND(Y141,2),"|",ROUND(AB141,2),"|",ROUND(AC141,2),"|",ROUND(AD141,2),"|",ROUND(Z141,2),"|",ROUND(AE141,2),"|",ROUND(AA141*100,2),"%|",ROUND(AF141*100,2),"%|",ROUND(AG141*100,2),"%")</f>
        <v>Fionn mac Cumhaill|4|Lancer|QQAAB|2.75|6.45|0.55|3.63|1.03|0.66|18.94|9.97|30.08%|31.08%|30.58%</v>
      </c>
    </row>
    <row r="142" spans="1:34" x14ac:dyDescent="0.25">
      <c r="A142">
        <v>6</v>
      </c>
      <c r="B142">
        <v>4</v>
      </c>
      <c r="C142" t="s">
        <v>4</v>
      </c>
      <c r="D142" t="s">
        <v>34</v>
      </c>
      <c r="E142" t="s">
        <v>6</v>
      </c>
      <c r="F142" s="3">
        <v>1</v>
      </c>
      <c r="G142" s="3">
        <v>2</v>
      </c>
      <c r="H142" s="4">
        <v>2</v>
      </c>
      <c r="I142" s="4">
        <v>2</v>
      </c>
      <c r="J142" s="2">
        <v>2</v>
      </c>
      <c r="K142" s="2">
        <v>1</v>
      </c>
      <c r="L142" s="6">
        <v>0.83</v>
      </c>
      <c r="M142" s="5">
        <v>10</v>
      </c>
      <c r="N142" s="3">
        <v>8</v>
      </c>
      <c r="O142" s="4">
        <v>0</v>
      </c>
      <c r="P142" s="2">
        <f>50/5</f>
        <v>10</v>
      </c>
      <c r="Q142" s="6">
        <f>37.5*3/6</f>
        <v>18.75</v>
      </c>
      <c r="R142" s="5">
        <v>0</v>
      </c>
      <c r="S142" s="6">
        <v>0</v>
      </c>
      <c r="T142" s="5">
        <v>0</v>
      </c>
      <c r="U142">
        <f>VLOOKUP(C142,classOrder,2,FALSE)</f>
        <v>2</v>
      </c>
      <c r="V142" s="7">
        <f>F142+H142+J142</f>
        <v>5</v>
      </c>
      <c r="W142" s="12">
        <f>L142*(firstCardNpBonus+VLOOKUP($W$1, cardNpValue, 2, FALSE)*(1+(N142/100))*(1+(Q142/100)))*G142</f>
        <v>4.8534249999999997</v>
      </c>
      <c r="X142" s="13">
        <f>L142*(firstCardNpBonus+VLOOKUP($X$1, cardNpValue, 2,FALSE)*(1+(O142/100))*(1+(Q142/100)))*I142</f>
        <v>10.530624999999999</v>
      </c>
      <c r="Y142" s="14">
        <f>L142*(firstCardNpBonus+VLOOKUP($Y$1, cardNpValue, 2,FALSE)*(1+(P142/100))*(1+(Q142/100)))*K142</f>
        <v>0.83</v>
      </c>
      <c r="Z142" s="15">
        <f>F142*W142+H142*X142+J142*Y142+S142</f>
        <v>27.574674999999996</v>
      </c>
      <c r="AA142" s="8">
        <f>Z142/maxTotalNpGain</f>
        <v>0.43781784838996124</v>
      </c>
      <c r="AB142" s="12">
        <f>((M142/100)+firstCardStarBonus+VLOOKUP($AB$1, cardStarValue, 2, FALSE)*(1+(N142/100))+(R142/100))*G142</f>
        <v>3.4080000000000004</v>
      </c>
      <c r="AC142" s="13">
        <f>((M142/100)+firstCardStarBonus+VLOOKUP($AC$1, cardStarValue, 2,FALSE )*(1+(O142/100))+(R142/100))*I142</f>
        <v>0.60000000000000009</v>
      </c>
      <c r="AD142" s="14">
        <f>((M142/100)+firstCardStarBonus+VLOOKUP($AD$1, cardStarValue, 2, FALSE)*(1+(P142/100))+(R142/100))*K142</f>
        <v>0.46500000000000008</v>
      </c>
      <c r="AE142" s="11">
        <f>AB142*F142+AC142*H142+AD142*J142+T142</f>
        <v>5.5380000000000003</v>
      </c>
      <c r="AF142" s="9">
        <f>AE142/maxTotalStarGen</f>
        <v>0.17271167940121629</v>
      </c>
      <c r="AG142" s="10">
        <f>(AA142+AF142)/2</f>
        <v>0.30526476389558876</v>
      </c>
      <c r="AH142" t="str">
        <f>CONCATENATE(D142,"|",B142,"|",C142,"|",E142,"|",ROUND(W142,2),"|",ROUND(X142,2),"|",ROUND(Y142,2),"|",ROUND(AB142,2),"|",ROUND(AC142,2),"|",ROUND(AD142,2),"|",ROUND(Z142,2),"|",ROUND(AE142,2),"|",ROUND(AA142*100,2),"%|",ROUND(AF142*100,2),"%|",ROUND(AG142*100,2),"%")</f>
        <v>Siegfried|4|Saber|QAABB|4.85|10.53|0.83|3.41|0.6|0.47|27.57|5.54|43.78%|17.27%|30.53%</v>
      </c>
    </row>
    <row r="143" spans="1:34" x14ac:dyDescent="0.25">
      <c r="A143">
        <v>29</v>
      </c>
      <c r="B143">
        <v>4</v>
      </c>
      <c r="C143" t="s">
        <v>114</v>
      </c>
      <c r="D143" t="s">
        <v>121</v>
      </c>
      <c r="E143" t="s">
        <v>67</v>
      </c>
      <c r="F143" s="3">
        <v>2</v>
      </c>
      <c r="G143" s="3">
        <v>2</v>
      </c>
      <c r="H143" s="4">
        <v>2</v>
      </c>
      <c r="I143" s="4">
        <v>1</v>
      </c>
      <c r="J143" s="2">
        <v>1</v>
      </c>
      <c r="K143" s="2">
        <v>1</v>
      </c>
      <c r="L143" s="6">
        <v>1</v>
      </c>
      <c r="M143" s="5">
        <v>9</v>
      </c>
      <c r="N143" s="3">
        <v>11</v>
      </c>
      <c r="O143" s="4">
        <v>0</v>
      </c>
      <c r="P143" s="2">
        <v>0</v>
      </c>
      <c r="Q143" s="6">
        <v>0</v>
      </c>
      <c r="R143" s="5">
        <v>0</v>
      </c>
      <c r="S143" s="6">
        <v>0</v>
      </c>
      <c r="T143" s="5">
        <v>0</v>
      </c>
      <c r="U143">
        <f>VLOOKUP(C143,classOrder,2,FALSE)</f>
        <v>5</v>
      </c>
      <c r="V143" s="7">
        <f>F143+H143+J143</f>
        <v>5</v>
      </c>
      <c r="W143" s="12">
        <f>L143*(firstCardNpBonus+VLOOKUP($W$1, cardNpValue, 2, FALSE)*(1+(N143/100))*(1+(Q143/100)))*G143</f>
        <v>5.33</v>
      </c>
      <c r="X143" s="13">
        <f>L143*(firstCardNpBonus+VLOOKUP($X$1, cardNpValue, 2,FALSE)*(1+(O143/100))*(1+(Q143/100)))*I143</f>
        <v>5.5</v>
      </c>
      <c r="Y143" s="14">
        <f>L143*(firstCardNpBonus+VLOOKUP($Y$1, cardNpValue, 2,FALSE)*(1+(P143/100))*(1+(Q143/100)))*K143</f>
        <v>1</v>
      </c>
      <c r="Z143" s="15">
        <f>F143*W143+H143*X143+J143*Y143+S143</f>
        <v>22.66</v>
      </c>
      <c r="AA143" s="8">
        <f>Z143/maxTotalNpGain</f>
        <v>0.35978492745667984</v>
      </c>
      <c r="AB143" s="12">
        <f>((M143/100)+firstCardStarBonus+VLOOKUP($AB$1, cardStarValue, 2, FALSE)*(1+(N143/100))+(R143/100))*G143</f>
        <v>3.4660000000000006</v>
      </c>
      <c r="AC143" s="13">
        <f>((M143/100)+firstCardStarBonus+VLOOKUP($AC$1, cardStarValue, 2,FALSE )*(1+(O143/100))+(R143/100))*I143</f>
        <v>0.29000000000000004</v>
      </c>
      <c r="AD143" s="14">
        <f>((M143/100)+firstCardStarBonus+VLOOKUP($AD$1, cardStarValue, 2, FALSE)*(1+(P143/100))+(R143/100))*K143</f>
        <v>0.44000000000000006</v>
      </c>
      <c r="AE143" s="11">
        <f>AB143*F143+AC143*H143+AD143*J143+T143</f>
        <v>7.9520000000000017</v>
      </c>
      <c r="AF143" s="9">
        <f>AE143/maxTotalStarGen</f>
        <v>0.24799625760174651</v>
      </c>
      <c r="AG143" s="10">
        <f>(AA143+AF143)/2</f>
        <v>0.30389059252921319</v>
      </c>
      <c r="AH143" t="str">
        <f>CONCATENATE(D143,"|",B143,"|",C143,"|",E143,"|",ROUND(W143,2),"|",ROUND(X143,2),"|",ROUND(Y143,2),"|",ROUND(AB143,2),"|",ROUND(AC143,2),"|",ROUND(AD143,2),"|",ROUND(Z143,2),"|",ROUND(AE143,2),"|",ROUND(AA143*100,2),"%|",ROUND(AF143*100,2),"%|",ROUND(AG143*100,2),"%")</f>
        <v>Marie Antoinette|4|Rider|QQAAB|5.33|5.5|1|3.47|0.29|0.44|22.66|7.95|35.98%|24.8%|30.39%</v>
      </c>
    </row>
    <row r="144" spans="1:34" x14ac:dyDescent="0.25">
      <c r="A144">
        <v>81</v>
      </c>
      <c r="B144">
        <v>3</v>
      </c>
      <c r="C144" t="s">
        <v>185</v>
      </c>
      <c r="D144" t="s">
        <v>198</v>
      </c>
      <c r="E144" t="s">
        <v>36</v>
      </c>
      <c r="F144" s="3">
        <v>2</v>
      </c>
      <c r="G144" s="3">
        <v>2</v>
      </c>
      <c r="H144" s="4">
        <v>1</v>
      </c>
      <c r="I144" s="4">
        <v>2</v>
      </c>
      <c r="J144" s="2">
        <v>2</v>
      </c>
      <c r="K144" s="2">
        <v>1</v>
      </c>
      <c r="L144" s="6">
        <v>1.02</v>
      </c>
      <c r="M144" s="5">
        <v>5</v>
      </c>
      <c r="N144" s="3">
        <v>0</v>
      </c>
      <c r="O144" s="4">
        <v>0</v>
      </c>
      <c r="P144" s="2">
        <v>11</v>
      </c>
      <c r="Q144" s="6">
        <v>0</v>
      </c>
      <c r="R144" s="5">
        <v>0</v>
      </c>
      <c r="S144" s="6">
        <v>0</v>
      </c>
      <c r="T144" s="5">
        <v>0</v>
      </c>
      <c r="U144">
        <f>VLOOKUP(C144,classOrder,2,FALSE)</f>
        <v>8</v>
      </c>
      <c r="V144" s="7">
        <f>F144+H144+J144</f>
        <v>5</v>
      </c>
      <c r="W144" s="12">
        <f>L144*(firstCardNpBonus+VLOOKUP($W$1, cardNpValue, 2, FALSE)*(1+(N144/100))*(1+(Q144/100)))*G144</f>
        <v>5.0999999999999996</v>
      </c>
      <c r="X144" s="13">
        <f>L144*(firstCardNpBonus+VLOOKUP($X$1, cardNpValue, 2,FALSE)*(1+(O144/100))*(1+(Q144/100)))*I144</f>
        <v>11.22</v>
      </c>
      <c r="Y144" s="14">
        <f>L144*(firstCardNpBonus+VLOOKUP($Y$1, cardNpValue, 2,FALSE)*(1+(P144/100))*(1+(Q144/100)))*K144</f>
        <v>1.02</v>
      </c>
      <c r="Z144" s="15">
        <f>F144*W144+H144*X144+J144*Y144+S144</f>
        <v>23.46</v>
      </c>
      <c r="AA144" s="8">
        <f>Z144/maxTotalNpGain</f>
        <v>0.37248695490440026</v>
      </c>
      <c r="AB144" s="12">
        <f>((M144/100)+firstCardStarBonus+VLOOKUP($AB$1, cardStarValue, 2, FALSE)*(1+(N144/100))+(R144/100))*G144</f>
        <v>3.1</v>
      </c>
      <c r="AC144" s="13">
        <f>((M144/100)+firstCardStarBonus+VLOOKUP($AC$1, cardStarValue, 2,FALSE )*(1+(O144/100))+(R144/100))*I144</f>
        <v>0.5</v>
      </c>
      <c r="AD144" s="14">
        <f>((M144/100)+firstCardStarBonus+VLOOKUP($AD$1, cardStarValue, 2, FALSE)*(1+(P144/100))+(R144/100))*K144</f>
        <v>0.41649999999999998</v>
      </c>
      <c r="AE144" s="11">
        <f>AB144*F144+AC144*H144+AD144*J144+T144</f>
        <v>7.5330000000000004</v>
      </c>
      <c r="AF144" s="9">
        <f>AE144/maxTotalStarGen</f>
        <v>0.23492905036644318</v>
      </c>
      <c r="AG144" s="10">
        <f>(AA144+AF144)/2</f>
        <v>0.30370800263542175</v>
      </c>
      <c r="AH144" t="str">
        <f>CONCATENATE(D144,"|",B144,"|",C144,"|",E144,"|",ROUND(W144,2),"|",ROUND(X144,2),"|",ROUND(Y144,2),"|",ROUND(AB144,2),"|",ROUND(AC144,2),"|",ROUND(AD144,2),"|",ROUND(Z144,2),"|",ROUND(AE144,2),"|",ROUND(AA144*100,2),"%|",ROUND(AF144*100,2),"%|",ROUND(AG144*100,2),"%")</f>
        <v>Henry Jekyll &amp; Hyde (Hyde)|3|Berserker|QQABB|5.1|11.22|1.02|3.1|0.5|0.42|23.46|7.53|37.25%|23.49%|30.37%</v>
      </c>
    </row>
    <row r="145" spans="1:34" x14ac:dyDescent="0.25">
      <c r="A145">
        <v>51</v>
      </c>
      <c r="B145">
        <v>5</v>
      </c>
      <c r="C145" t="s">
        <v>185</v>
      </c>
      <c r="D145" t="s">
        <v>190</v>
      </c>
      <c r="E145" t="s">
        <v>50</v>
      </c>
      <c r="F145" s="3">
        <v>1</v>
      </c>
      <c r="G145" s="3">
        <v>2</v>
      </c>
      <c r="H145" s="4">
        <v>1</v>
      </c>
      <c r="I145" s="4">
        <v>2</v>
      </c>
      <c r="J145" s="2">
        <v>3</v>
      </c>
      <c r="K145" s="2">
        <v>1</v>
      </c>
      <c r="L145" s="6">
        <v>1.03</v>
      </c>
      <c r="M145" s="5">
        <v>5</v>
      </c>
      <c r="N145" s="3">
        <v>0</v>
      </c>
      <c r="O145" s="4">
        <v>0</v>
      </c>
      <c r="P145" s="2">
        <v>2</v>
      </c>
      <c r="Q145" s="6">
        <v>0</v>
      </c>
      <c r="R145" s="5">
        <v>0</v>
      </c>
      <c r="S145" s="6">
        <f>50/6</f>
        <v>8.3333333333333339</v>
      </c>
      <c r="T145" s="5">
        <v>0</v>
      </c>
      <c r="U145">
        <f>VLOOKUP(C145,classOrder,2,FALSE)</f>
        <v>8</v>
      </c>
      <c r="V145" s="7">
        <f>F145+H145+J145</f>
        <v>5</v>
      </c>
      <c r="W145" s="12">
        <f>L145*(firstCardNpBonus+VLOOKUP($W$1, cardNpValue, 2, FALSE)*(1+(N145/100))*(1+(Q145/100)))*G145</f>
        <v>5.15</v>
      </c>
      <c r="X145" s="13">
        <f>L145*(firstCardNpBonus+VLOOKUP($X$1, cardNpValue, 2,FALSE)*(1+(O145/100))*(1+(Q145/100)))*I145</f>
        <v>11.33</v>
      </c>
      <c r="Y145" s="14">
        <f>L145*(firstCardNpBonus+VLOOKUP($Y$1, cardNpValue, 2,FALSE)*(1+(P145/100))*(1+(Q145/100)))*K145</f>
        <v>1.03</v>
      </c>
      <c r="Z145" s="15">
        <f>F145*W145+H145*X145+J145*Y145+S145</f>
        <v>27.903333333333336</v>
      </c>
      <c r="AA145" s="8">
        <f>Z145/maxTotalNpGain</f>
        <v>0.44303613235361389</v>
      </c>
      <c r="AB145" s="12">
        <f>((M145/100)+firstCardStarBonus+VLOOKUP($AB$1, cardStarValue, 2, FALSE)*(1+(N145/100))+(R145/100))*G145</f>
        <v>3.1</v>
      </c>
      <c r="AC145" s="13">
        <f>((M145/100)+firstCardStarBonus+VLOOKUP($AC$1, cardStarValue, 2,FALSE )*(1+(O145/100))+(R145/100))*I145</f>
        <v>0.5</v>
      </c>
      <c r="AD145" s="14">
        <f>((M145/100)+firstCardStarBonus+VLOOKUP($AD$1, cardStarValue, 2, FALSE)*(1+(P145/100))+(R145/100))*K145</f>
        <v>0.40300000000000002</v>
      </c>
      <c r="AE145" s="11">
        <f>AB145*F145+AC145*H145+AD145*J145+T145</f>
        <v>4.8090000000000002</v>
      </c>
      <c r="AF145" s="9">
        <f>AE145/maxTotalStarGen</f>
        <v>0.14997661001091533</v>
      </c>
      <c r="AG145" s="10">
        <f>(AA145+AF145)/2</f>
        <v>0.29650637118226464</v>
      </c>
      <c r="AH145" t="str">
        <f>CONCATENATE(D145,"|",B145,"|",C145,"|",E145,"|",ROUND(W145,2),"|",ROUND(X145,2),"|",ROUND(Y145,2),"|",ROUND(AB145,2),"|",ROUND(AC145,2),"|",ROUND(AD145,2),"|",ROUND(Z145,2),"|",ROUND(AE145,2),"|",ROUND(AA145*100,2),"%|",ROUND(AF145*100,2),"%|",ROUND(AG145*100,2),"%")</f>
        <v>Sakata Kintoki|5|Berserker|QABBB|5.15|11.33|1.03|3.1|0.5|0.4|27.9|4.81|44.3%|15%|29.65%</v>
      </c>
    </row>
    <row r="146" spans="1:34" x14ac:dyDescent="0.25">
      <c r="A146">
        <v>89</v>
      </c>
      <c r="B146">
        <v>4</v>
      </c>
      <c r="C146" t="s">
        <v>185</v>
      </c>
      <c r="D146" t="s">
        <v>201</v>
      </c>
      <c r="E146" t="s">
        <v>50</v>
      </c>
      <c r="F146" s="3">
        <v>1</v>
      </c>
      <c r="G146" s="3">
        <v>3</v>
      </c>
      <c r="H146" s="4">
        <v>1</v>
      </c>
      <c r="I146" s="4">
        <v>3</v>
      </c>
      <c r="J146" s="2">
        <v>3</v>
      </c>
      <c r="K146" s="2">
        <v>1</v>
      </c>
      <c r="L146" s="6">
        <v>0.68</v>
      </c>
      <c r="M146" s="5">
        <v>4.9000000000000004</v>
      </c>
      <c r="N146" s="3">
        <v>0</v>
      </c>
      <c r="O146" s="4">
        <v>0</v>
      </c>
      <c r="P146" s="2">
        <v>1</v>
      </c>
      <c r="Q146" s="6">
        <v>0</v>
      </c>
      <c r="R146" s="5">
        <v>0</v>
      </c>
      <c r="S146" s="6">
        <v>0</v>
      </c>
      <c r="T146" s="5">
        <f>14/5</f>
        <v>2.8</v>
      </c>
      <c r="U146">
        <f>VLOOKUP(C146,classOrder,2,FALSE)</f>
        <v>8</v>
      </c>
      <c r="V146" s="7">
        <f>F146+H146+J146</f>
        <v>5</v>
      </c>
      <c r="W146" s="12">
        <f>L146*(firstCardNpBonus+VLOOKUP($W$1, cardNpValue, 2, FALSE)*(1+(N146/100))*(1+(Q146/100)))*G146</f>
        <v>5.1000000000000005</v>
      </c>
      <c r="X146" s="13">
        <f>L146*(firstCardNpBonus+VLOOKUP($X$1, cardNpValue, 2,FALSE)*(1+(O146/100))*(1+(Q146/100)))*I146</f>
        <v>11.22</v>
      </c>
      <c r="Y146" s="14">
        <f>L146*(firstCardNpBonus+VLOOKUP($Y$1, cardNpValue, 2,FALSE)*(1+(P146/100))*(1+(Q146/100)))*K146</f>
        <v>0.68</v>
      </c>
      <c r="Z146" s="15">
        <f>F146*W146+H146*X146+J146*Y146+S146</f>
        <v>18.36</v>
      </c>
      <c r="AA146" s="8">
        <f>Z146/maxTotalNpGain</f>
        <v>0.29151152992518276</v>
      </c>
      <c r="AB146" s="12">
        <f>((M146/100)+firstCardStarBonus+VLOOKUP($AB$1, cardStarValue, 2, FALSE)*(1+(N146/100))+(R146/100))*G146</f>
        <v>4.6470000000000002</v>
      </c>
      <c r="AC146" s="13">
        <f>((M146/100)+firstCardStarBonus+VLOOKUP($AC$1, cardStarValue, 2,FALSE )*(1+(O146/100))+(R146/100))*I146</f>
        <v>0.747</v>
      </c>
      <c r="AD146" s="14">
        <f>((M146/100)+firstCardStarBonus+VLOOKUP($AD$1, cardStarValue, 2, FALSE)*(1+(P146/100))+(R146/100))*K146</f>
        <v>0.40049999999999997</v>
      </c>
      <c r="AE146" s="11">
        <f>AB146*F146+AC146*H146+AD146*J146+T146</f>
        <v>9.3954999999999984</v>
      </c>
      <c r="AF146" s="9">
        <f>AE146/maxTotalStarGen</f>
        <v>0.29301418992671135</v>
      </c>
      <c r="AG146" s="10">
        <f>(AA146+AF146)/2</f>
        <v>0.29226285992594703</v>
      </c>
      <c r="AH146" t="str">
        <f>CONCATENATE(D146,"|",B146,"|",C146,"|",E146,"|",ROUND(W146,2),"|",ROUND(X146,2),"|",ROUND(Y146,2),"|",ROUND(AB146,2),"|",ROUND(AC146,2),"|",ROUND(AD146,2),"|",ROUND(Z146,2),"|",ROUND(AE146,2),"|",ROUND(AA146*100,2),"%|",ROUND(AF146*100,2),"%|",ROUND(AG146*100,2),"%")</f>
        <v>Beowulf|4|Berserker|QABBB|5.1|11.22|0.68|4.65|0.75|0.4|18.36|9.4|29.15%|29.3%|29.23%</v>
      </c>
    </row>
    <row r="147" spans="1:34" x14ac:dyDescent="0.25">
      <c r="A147">
        <v>56</v>
      </c>
      <c r="B147">
        <v>3</v>
      </c>
      <c r="C147" t="s">
        <v>185</v>
      </c>
      <c r="D147" t="s">
        <v>195</v>
      </c>
      <c r="E147" t="s">
        <v>50</v>
      </c>
      <c r="F147" s="3">
        <v>1</v>
      </c>
      <c r="G147" s="3">
        <v>2</v>
      </c>
      <c r="H147" s="4">
        <v>1</v>
      </c>
      <c r="I147" s="4">
        <v>1</v>
      </c>
      <c r="J147" s="2">
        <v>3</v>
      </c>
      <c r="K147" s="2">
        <v>1</v>
      </c>
      <c r="L147" s="6">
        <v>2.0299999999999998</v>
      </c>
      <c r="M147" s="5">
        <v>4.9000000000000004</v>
      </c>
      <c r="N147" s="3">
        <v>0</v>
      </c>
      <c r="O147" s="4">
        <v>0</v>
      </c>
      <c r="P147" s="2">
        <f>12+30/5</f>
        <v>18</v>
      </c>
      <c r="Q147" s="6">
        <v>0</v>
      </c>
      <c r="R147" s="5">
        <v>0</v>
      </c>
      <c r="S147" s="6">
        <v>0</v>
      </c>
      <c r="T147" s="5">
        <v>0</v>
      </c>
      <c r="U147">
        <f>VLOOKUP(C147,classOrder,2,FALSE)</f>
        <v>8</v>
      </c>
      <c r="V147" s="7">
        <f>F147+H147+J147</f>
        <v>5</v>
      </c>
      <c r="W147" s="12">
        <f>L147*(firstCardNpBonus+VLOOKUP($W$1, cardNpValue, 2, FALSE)*(1+(N147/100))*(1+(Q147/100)))*G147</f>
        <v>10.149999999999999</v>
      </c>
      <c r="X147" s="13">
        <f>L147*(firstCardNpBonus+VLOOKUP($X$1, cardNpValue, 2,FALSE)*(1+(O147/100))*(1+(Q147/100)))*I147</f>
        <v>11.164999999999999</v>
      </c>
      <c r="Y147" s="14">
        <f>L147*(firstCardNpBonus+VLOOKUP($Y$1, cardNpValue, 2,FALSE)*(1+(P147/100))*(1+(Q147/100)))*K147</f>
        <v>2.0299999999999998</v>
      </c>
      <c r="Z147" s="15">
        <f>F147*W147+H147*X147+J147*Y147+S147</f>
        <v>27.404999999999998</v>
      </c>
      <c r="AA147" s="8">
        <f>Z147/maxTotalNpGain</f>
        <v>0.4351238277559713</v>
      </c>
      <c r="AB147" s="12">
        <f>((M147/100)+firstCardStarBonus+VLOOKUP($AB$1, cardStarValue, 2, FALSE)*(1+(N147/100))+(R147/100))*G147</f>
        <v>3.0979999999999999</v>
      </c>
      <c r="AC147" s="13">
        <f>((M147/100)+firstCardStarBonus+VLOOKUP($AC$1, cardStarValue, 2,FALSE )*(1+(O147/100))+(R147/100))*I147</f>
        <v>0.249</v>
      </c>
      <c r="AD147" s="14">
        <f>((M147/100)+firstCardStarBonus+VLOOKUP($AD$1, cardStarValue, 2, FALSE)*(1+(P147/100))+(R147/100))*K147</f>
        <v>0.42599999999999999</v>
      </c>
      <c r="AE147" s="11">
        <f>AB147*F147+AC147*H147+AD147*J147+T147</f>
        <v>4.625</v>
      </c>
      <c r="AF147" s="9">
        <f>AE147/maxTotalStarGen</f>
        <v>0.14423826602214254</v>
      </c>
      <c r="AG147" s="10">
        <f>(AA147+AF147)/2</f>
        <v>0.28968104688905694</v>
      </c>
      <c r="AH147" t="str">
        <f>CONCATENATE(D147,"|",B147,"|",C147,"|",E147,"|",ROUND(W147,2),"|",ROUND(X147,2),"|",ROUND(Y147,2),"|",ROUND(AB147,2),"|",ROUND(AC147,2),"|",ROUND(AD147,2),"|",ROUND(Z147,2),"|",ROUND(AE147,2),"|",ROUND(AA147*100,2),"%|",ROUND(AF147*100,2),"%|",ROUND(AG147*100,2),"%")</f>
        <v>Kiyohime|3|Berserker|QABBB|10.15|11.17|2.03|3.1|0.25|0.43|27.41|4.63|43.51%|14.42%|28.97%</v>
      </c>
    </row>
    <row r="148" spans="1:34" x14ac:dyDescent="0.25">
      <c r="A148">
        <v>2</v>
      </c>
      <c r="B148">
        <v>5</v>
      </c>
      <c r="C148" t="s">
        <v>4</v>
      </c>
      <c r="D148" t="s">
        <v>5</v>
      </c>
      <c r="E148" t="s">
        <v>6</v>
      </c>
      <c r="F148" s="3">
        <v>1</v>
      </c>
      <c r="G148" s="3">
        <v>2</v>
      </c>
      <c r="H148" s="4">
        <v>2</v>
      </c>
      <c r="I148" s="4">
        <v>2</v>
      </c>
      <c r="J148" s="2">
        <v>2</v>
      </c>
      <c r="K148" s="2">
        <v>1</v>
      </c>
      <c r="L148" s="6">
        <v>0.86</v>
      </c>
      <c r="M148" s="5">
        <v>10</v>
      </c>
      <c r="N148" s="3">
        <v>8</v>
      </c>
      <c r="O148" s="4">
        <v>0</v>
      </c>
      <c r="P148" s="2">
        <f>50/5</f>
        <v>10</v>
      </c>
      <c r="Q148" s="6">
        <v>0</v>
      </c>
      <c r="R148" s="5">
        <v>0</v>
      </c>
      <c r="S148" s="6">
        <v>0</v>
      </c>
      <c r="T148" s="5">
        <v>0</v>
      </c>
      <c r="U148">
        <f>VLOOKUP(C148,classOrder,2,FALSE)</f>
        <v>2</v>
      </c>
      <c r="V148" s="7">
        <f>F148+H148+J148</f>
        <v>5</v>
      </c>
      <c r="W148" s="12">
        <f>L148*(firstCardNpBonus+VLOOKUP($W$1, cardNpValue, 2, FALSE)*(1+(N148/100))*(1+(Q148/100)))*G148</f>
        <v>4.5064000000000002</v>
      </c>
      <c r="X148" s="13">
        <f>L148*(firstCardNpBonus+VLOOKUP($X$1, cardNpValue, 2,FALSE)*(1+(O148/100))*(1+(Q148/100)))*I148</f>
        <v>9.4599999999999991</v>
      </c>
      <c r="Y148" s="14">
        <f>L148*(firstCardNpBonus+VLOOKUP($Y$1, cardNpValue, 2,FALSE)*(1+(P148/100))*(1+(Q148/100)))*K148</f>
        <v>0.86</v>
      </c>
      <c r="Z148" s="15">
        <f>F148*W148+H148*X148+J148*Y148+S148</f>
        <v>25.146399999999996</v>
      </c>
      <c r="AA148" s="8">
        <f>Z148/maxTotalNpGain</f>
        <v>0.39926282876419472</v>
      </c>
      <c r="AB148" s="12">
        <f>((M148/100)+firstCardStarBonus+VLOOKUP($AB$1, cardStarValue, 2, FALSE)*(1+(N148/100))+(R148/100))*G148</f>
        <v>3.4080000000000004</v>
      </c>
      <c r="AC148" s="13">
        <f>((M148/100)+firstCardStarBonus+VLOOKUP($AC$1, cardStarValue, 2,FALSE )*(1+(O148/100))+(R148/100))*I148</f>
        <v>0.60000000000000009</v>
      </c>
      <c r="AD148" s="14">
        <f>((M148/100)+firstCardStarBonus+VLOOKUP($AD$1, cardStarValue, 2, FALSE)*(1+(P148/100))+(R148/100))*K148</f>
        <v>0.46500000000000008</v>
      </c>
      <c r="AE148" s="11">
        <f>AB148*F148+AC148*H148+AD148*J148+T148</f>
        <v>5.5380000000000003</v>
      </c>
      <c r="AF148" s="9">
        <f>AE148/maxTotalStarGen</f>
        <v>0.17271167940121629</v>
      </c>
      <c r="AG148" s="10">
        <f>(AA148+AF148)/2</f>
        <v>0.28598725408270553</v>
      </c>
      <c r="AH148" t="str">
        <f>CONCATENATE(D148,"|",B148,"|",C148,"|",E148,"|",ROUND(W148,2),"|",ROUND(X148,2),"|",ROUND(Y148,2),"|",ROUND(AB148,2),"|",ROUND(AC148,2),"|",ROUND(AD148,2),"|",ROUND(Z148,2),"|",ROUND(AE148,2),"|",ROUND(AA148*100,2),"%|",ROUND(AF148*100,2),"%|",ROUND(AG148*100,2),"%")</f>
        <v>Artoria Pendragon|5|Saber|QAABB|4.51|9.46|0.86|3.41|0.6|0.47|25.15|5.54|39.93%|17.27%|28.6%</v>
      </c>
    </row>
    <row r="149" spans="1:34" x14ac:dyDescent="0.25">
      <c r="A149">
        <v>101</v>
      </c>
      <c r="B149">
        <v>4</v>
      </c>
      <c r="C149" t="s">
        <v>4</v>
      </c>
      <c r="D149" t="s">
        <v>54</v>
      </c>
      <c r="E149" t="s">
        <v>6</v>
      </c>
      <c r="F149" s="3">
        <v>1</v>
      </c>
      <c r="G149" s="3">
        <v>2</v>
      </c>
      <c r="H149" s="4">
        <v>2</v>
      </c>
      <c r="I149" s="4">
        <v>2</v>
      </c>
      <c r="J149" s="2">
        <v>2</v>
      </c>
      <c r="K149" s="2">
        <v>1</v>
      </c>
      <c r="L149" s="6">
        <v>0.84</v>
      </c>
      <c r="M149" s="5">
        <v>10.199999999999999</v>
      </c>
      <c r="N149" s="3">
        <v>11</v>
      </c>
      <c r="O149" s="4">
        <v>0</v>
      </c>
      <c r="P149" s="2">
        <v>0</v>
      </c>
      <c r="Q149" s="6">
        <v>0</v>
      </c>
      <c r="R149" s="5">
        <v>0</v>
      </c>
      <c r="S149" s="6">
        <v>0</v>
      </c>
      <c r="T149" s="5">
        <v>0</v>
      </c>
      <c r="U149">
        <f>VLOOKUP(C149,classOrder,2,FALSE)</f>
        <v>2</v>
      </c>
      <c r="V149" s="7">
        <f>F149+H149+J149</f>
        <v>5</v>
      </c>
      <c r="W149" s="12">
        <f>L149*(firstCardNpBonus+VLOOKUP($W$1, cardNpValue, 2, FALSE)*(1+(N149/100))*(1+(Q149/100)))*G149</f>
        <v>4.4771999999999998</v>
      </c>
      <c r="X149" s="13">
        <f>L149*(firstCardNpBonus+VLOOKUP($X$1, cardNpValue, 2,FALSE)*(1+(O149/100))*(1+(Q149/100)))*I149</f>
        <v>9.24</v>
      </c>
      <c r="Y149" s="14">
        <f>L149*(firstCardNpBonus+VLOOKUP($Y$1, cardNpValue, 2,FALSE)*(1+(P149/100))*(1+(Q149/100)))*K149</f>
        <v>0.84</v>
      </c>
      <c r="Z149" s="15">
        <f>F149*W149+H149*X149+J149*Y149+S149</f>
        <v>24.6372</v>
      </c>
      <c r="AA149" s="8">
        <f>Z149/maxTotalNpGain</f>
        <v>0.39117798829372075</v>
      </c>
      <c r="AB149" s="12">
        <f>((M149/100)+firstCardStarBonus+VLOOKUP($AB$1, cardStarValue, 2, FALSE)*(1+(N149/100))+(R149/100))*G149</f>
        <v>3.4900000000000007</v>
      </c>
      <c r="AC149" s="13">
        <f>((M149/100)+firstCardStarBonus+VLOOKUP($AC$1, cardStarValue, 2,FALSE )*(1+(O149/100))+(R149/100))*I149</f>
        <v>0.60399999999999998</v>
      </c>
      <c r="AD149" s="14">
        <f>((M149/100)+firstCardStarBonus+VLOOKUP($AD$1, cardStarValue, 2, FALSE)*(1+(P149/100))+(R149/100))*K149</f>
        <v>0.45199999999999996</v>
      </c>
      <c r="AE149" s="11">
        <f>AB149*F149+AC149*H149+AD149*J149+T149</f>
        <v>5.6020000000000003</v>
      </c>
      <c r="AF149" s="9">
        <f>AE149/maxTotalStarGen</f>
        <v>0.17470762513644161</v>
      </c>
      <c r="AG149" s="10">
        <f>(AA149+AF149)/2</f>
        <v>0.28294280671508121</v>
      </c>
      <c r="AH149" t="str">
        <f>CONCATENATE(D149,"|",B149,"|",C149,"|",E149,"|",ROUND(W149,2),"|",ROUND(X149,2),"|",ROUND(Y149,2),"|",ROUND(AB149,2),"|",ROUND(AC149,2),"|",ROUND(AD149,2),"|",ROUND(Z149,2),"|",ROUND(AE149,2),"|",ROUND(AA149*100,2),"%|",ROUND(AF149*100,2),"%|",ROUND(AG149*100,2),"%")</f>
        <v>Rama|4|Saber|QAABB|4.48|9.24|0.84|3.49|0.6|0.45|24.64|5.6|39.12%|17.47%|28.29%</v>
      </c>
    </row>
    <row r="150" spans="1:34" x14ac:dyDescent="0.25">
      <c r="A150">
        <v>5</v>
      </c>
      <c r="B150">
        <v>4</v>
      </c>
      <c r="C150" t="s">
        <v>4</v>
      </c>
      <c r="D150" t="s">
        <v>33</v>
      </c>
      <c r="E150" t="s">
        <v>6</v>
      </c>
      <c r="F150" s="3">
        <v>1</v>
      </c>
      <c r="G150" s="3">
        <v>2</v>
      </c>
      <c r="H150" s="4">
        <v>2</v>
      </c>
      <c r="I150" s="4">
        <v>2</v>
      </c>
      <c r="J150" s="2">
        <v>2</v>
      </c>
      <c r="K150" s="2">
        <v>1</v>
      </c>
      <c r="L150" s="6">
        <v>0.84</v>
      </c>
      <c r="M150" s="5">
        <v>10.1</v>
      </c>
      <c r="N150" s="3">
        <v>8</v>
      </c>
      <c r="O150" s="4">
        <v>0</v>
      </c>
      <c r="P150" s="2">
        <v>0</v>
      </c>
      <c r="Q150" s="6">
        <v>0</v>
      </c>
      <c r="R150" s="5">
        <v>0</v>
      </c>
      <c r="S150" s="6">
        <v>0</v>
      </c>
      <c r="T150" s="5">
        <v>0</v>
      </c>
      <c r="U150">
        <f>VLOOKUP(C150,classOrder,2,FALSE)</f>
        <v>2</v>
      </c>
      <c r="V150" s="7">
        <f>F150+H150+J150</f>
        <v>5</v>
      </c>
      <c r="W150" s="12">
        <f>L150*(firstCardNpBonus+VLOOKUP($W$1, cardNpValue, 2, FALSE)*(1+(N150/100))*(1+(Q150/100)))*G150</f>
        <v>4.4016000000000002</v>
      </c>
      <c r="X150" s="13">
        <f>L150*(firstCardNpBonus+VLOOKUP($X$1, cardNpValue, 2,FALSE)*(1+(O150/100))*(1+(Q150/100)))*I150</f>
        <v>9.24</v>
      </c>
      <c r="Y150" s="14">
        <f>L150*(firstCardNpBonus+VLOOKUP($Y$1, cardNpValue, 2,FALSE)*(1+(P150/100))*(1+(Q150/100)))*K150</f>
        <v>0.84</v>
      </c>
      <c r="Z150" s="15">
        <f>F150*W150+H150*X150+J150*Y150+S150</f>
        <v>24.561599999999999</v>
      </c>
      <c r="AA150" s="8">
        <f>Z150/maxTotalNpGain</f>
        <v>0.38997764669991114</v>
      </c>
      <c r="AB150" s="12">
        <f>((M150/100)+firstCardStarBonus+VLOOKUP($AB$1, cardStarValue, 2, FALSE)*(1+(N150/100))+(R150/100))*G150</f>
        <v>3.41</v>
      </c>
      <c r="AC150" s="13">
        <f>((M150/100)+firstCardStarBonus+VLOOKUP($AC$1, cardStarValue, 2,FALSE )*(1+(O150/100))+(R150/100))*I150</f>
        <v>0.60199999999999998</v>
      </c>
      <c r="AD150" s="14">
        <f>((M150/100)+firstCardStarBonus+VLOOKUP($AD$1, cardStarValue, 2, FALSE)*(1+(P150/100))+(R150/100))*K150</f>
        <v>0.45099999999999996</v>
      </c>
      <c r="AE150" s="11">
        <f>AB150*F150+AC150*H150+AD150*J150+T150</f>
        <v>5.516</v>
      </c>
      <c r="AF150" s="9">
        <f>AE150/maxTotalStarGen</f>
        <v>0.17202557305473259</v>
      </c>
      <c r="AG150" s="10">
        <f>(AA150+AF150)/2</f>
        <v>0.28100160987732187</v>
      </c>
      <c r="AH150" t="str">
        <f>CONCATENATE(D150,"|",B150,"|",C150,"|",E150,"|",ROUND(W150,2),"|",ROUND(X150,2),"|",ROUND(Y150,2),"|",ROUND(AB150,2),"|",ROUND(AC150,2),"|",ROUND(AD150,2),"|",ROUND(Z150,2),"|",ROUND(AE150,2),"|",ROUND(AA150*100,2),"%|",ROUND(AF150*100,2),"%|",ROUND(AG150*100,2),"%")</f>
        <v>Nero Claudius|4|Saber|QAABB|4.4|9.24|0.84|3.41|0.6|0.45|24.56|5.52|39%|17.2%|28.1%</v>
      </c>
    </row>
    <row r="151" spans="1:34" x14ac:dyDescent="0.25">
      <c r="A151">
        <v>10</v>
      </c>
      <c r="B151">
        <v>4</v>
      </c>
      <c r="C151" t="s">
        <v>4</v>
      </c>
      <c r="D151" t="s">
        <v>47</v>
      </c>
      <c r="E151" t="s">
        <v>6</v>
      </c>
      <c r="F151" s="3">
        <v>1</v>
      </c>
      <c r="G151" s="3">
        <v>2</v>
      </c>
      <c r="H151" s="4">
        <v>2</v>
      </c>
      <c r="I151" s="4">
        <v>2</v>
      </c>
      <c r="J151" s="2">
        <v>2</v>
      </c>
      <c r="K151" s="2">
        <v>1</v>
      </c>
      <c r="L151" s="6">
        <v>0.83</v>
      </c>
      <c r="M151" s="5">
        <v>10</v>
      </c>
      <c r="N151" s="3">
        <v>8</v>
      </c>
      <c r="O151" s="4">
        <v>0</v>
      </c>
      <c r="P151" s="2">
        <v>0</v>
      </c>
      <c r="Q151" s="6">
        <v>0</v>
      </c>
      <c r="R151" s="5">
        <v>0</v>
      </c>
      <c r="S151" s="6">
        <v>0</v>
      </c>
      <c r="T151" s="5">
        <v>0</v>
      </c>
      <c r="U151">
        <f>VLOOKUP(C151,classOrder,2,FALSE)</f>
        <v>2</v>
      </c>
      <c r="V151" s="7">
        <f>F151+H151+J151</f>
        <v>5</v>
      </c>
      <c r="W151" s="12">
        <f>L151*(firstCardNpBonus+VLOOKUP($W$1, cardNpValue, 2, FALSE)*(1+(N151/100))*(1+(Q151/100)))*G151</f>
        <v>4.3491999999999997</v>
      </c>
      <c r="X151" s="13">
        <f>L151*(firstCardNpBonus+VLOOKUP($X$1, cardNpValue, 2,FALSE)*(1+(O151/100))*(1+(Q151/100)))*I151</f>
        <v>9.129999999999999</v>
      </c>
      <c r="Y151" s="14">
        <f>L151*(firstCardNpBonus+VLOOKUP($Y$1, cardNpValue, 2,FALSE)*(1+(P151/100))*(1+(Q151/100)))*K151</f>
        <v>0.83</v>
      </c>
      <c r="Z151" s="15">
        <f>F151*W151+H151*X151+J151*Y151+S151</f>
        <v>24.269199999999998</v>
      </c>
      <c r="AA151" s="8">
        <f>Z151/maxTotalNpGain</f>
        <v>0.38533505566776938</v>
      </c>
      <c r="AB151" s="12">
        <f>((M151/100)+firstCardStarBonus+VLOOKUP($AB$1, cardStarValue, 2, FALSE)*(1+(N151/100))+(R151/100))*G151</f>
        <v>3.4080000000000004</v>
      </c>
      <c r="AC151" s="13">
        <f>((M151/100)+firstCardStarBonus+VLOOKUP($AC$1, cardStarValue, 2,FALSE )*(1+(O151/100))+(R151/100))*I151</f>
        <v>0.60000000000000009</v>
      </c>
      <c r="AD151" s="14">
        <f>((M151/100)+firstCardStarBonus+VLOOKUP($AD$1, cardStarValue, 2, FALSE)*(1+(P151/100))+(R151/100))*K151</f>
        <v>0.45000000000000007</v>
      </c>
      <c r="AE151" s="11">
        <f>AB151*F151+AC151*H151+AD151*J151+T151</f>
        <v>5.5080000000000009</v>
      </c>
      <c r="AF151" s="9">
        <f>AE151/maxTotalStarGen</f>
        <v>0.17177607983782944</v>
      </c>
      <c r="AG151" s="10">
        <f>(AA151+AF151)/2</f>
        <v>0.27855556775279944</v>
      </c>
      <c r="AH151" t="str">
        <f>CONCATENATE(D151,"|",B151,"|",C151,"|",E151,"|",ROUND(W151,2),"|",ROUND(X151,2),"|",ROUND(Y151,2),"|",ROUND(AB151,2),"|",ROUND(AC151,2),"|",ROUND(AD151,2),"|",ROUND(Z151,2),"|",ROUND(AE151,2),"|",ROUND(AA151*100,2),"%|",ROUND(AF151*100,2),"%|",ROUND(AG151*100,2),"%")</f>
        <v>Le Chevalier d'Eon|4|Saber|QAABB|4.35|9.13|0.83|3.41|0.6|0.45|24.27|5.51|38.53%|17.18%|27.86%</v>
      </c>
    </row>
    <row r="152" spans="1:34" x14ac:dyDescent="0.25">
      <c r="A152">
        <v>125</v>
      </c>
      <c r="B152">
        <v>3</v>
      </c>
      <c r="C152" t="s">
        <v>63</v>
      </c>
      <c r="D152" t="s">
        <v>80</v>
      </c>
      <c r="E152" t="s">
        <v>6</v>
      </c>
      <c r="F152" s="3">
        <v>1</v>
      </c>
      <c r="G152" s="3">
        <v>2</v>
      </c>
      <c r="H152" s="4">
        <v>2</v>
      </c>
      <c r="I152" s="4">
        <v>3</v>
      </c>
      <c r="J152" s="2">
        <v>2</v>
      </c>
      <c r="K152" s="2">
        <v>1</v>
      </c>
      <c r="L152" s="6">
        <v>0.56999999999999995</v>
      </c>
      <c r="M152" s="5">
        <v>7.8</v>
      </c>
      <c r="N152" s="3">
        <v>0</v>
      </c>
      <c r="O152" s="4">
        <v>0</v>
      </c>
      <c r="P152" s="2">
        <f>30*3/6</f>
        <v>15</v>
      </c>
      <c r="Q152" s="6">
        <v>0</v>
      </c>
      <c r="R152" s="5">
        <v>0</v>
      </c>
      <c r="S152" s="6">
        <v>0</v>
      </c>
      <c r="T152" s="5">
        <v>0</v>
      </c>
      <c r="U152">
        <f>VLOOKUP(C152,classOrder,2,FALSE)</f>
        <v>3</v>
      </c>
      <c r="V152" s="7">
        <f>F152+H152+J152</f>
        <v>5</v>
      </c>
      <c r="W152" s="12">
        <f>L152*(firstCardNpBonus+VLOOKUP($W$1, cardNpValue, 2, FALSE)*(1+(N152/100))*(1+(Q152/100)))*G152</f>
        <v>2.8499999999999996</v>
      </c>
      <c r="X152" s="13">
        <f>L152*(firstCardNpBonus+VLOOKUP($X$1, cardNpValue, 2,FALSE)*(1+(O152/100))*(1+(Q152/100)))*I152</f>
        <v>9.4049999999999994</v>
      </c>
      <c r="Y152" s="14">
        <f>L152*(firstCardNpBonus+VLOOKUP($Y$1, cardNpValue, 2,FALSE)*(1+(P152/100))*(1+(Q152/100)))*K152</f>
        <v>0.56999999999999995</v>
      </c>
      <c r="Z152" s="15">
        <f>F152*W152+H152*X152+J152*Y152+S152</f>
        <v>22.799999999999997</v>
      </c>
      <c r="AA152" s="8">
        <f>Z152/maxTotalNpGain</f>
        <v>0.36200778226003089</v>
      </c>
      <c r="AB152" s="12">
        <f>((M152/100)+firstCardStarBonus+VLOOKUP($AB$1, cardStarValue, 2, FALSE)*(1+(N152/100))+(R152/100))*G152</f>
        <v>3.1560000000000001</v>
      </c>
      <c r="AC152" s="13">
        <f>((M152/100)+firstCardStarBonus+VLOOKUP($AC$1, cardStarValue, 2,FALSE )*(1+(O152/100))+(R152/100))*I152</f>
        <v>0.83400000000000007</v>
      </c>
      <c r="AD152" s="14">
        <f>((M152/100)+firstCardStarBonus+VLOOKUP($AD$1, cardStarValue, 2, FALSE)*(1+(P152/100))+(R152/100))*K152</f>
        <v>0.45050000000000001</v>
      </c>
      <c r="AE152" s="11">
        <f>AB152*F152+AC152*H152+AD152*J152+T152</f>
        <v>5.7249999999999996</v>
      </c>
      <c r="AF152" s="9">
        <f>AE152/maxTotalStarGen</f>
        <v>0.17854358334632778</v>
      </c>
      <c r="AG152" s="10">
        <f>(AA152+AF152)/2</f>
        <v>0.27027568280317932</v>
      </c>
      <c r="AH152" t="str">
        <f>CONCATENATE(D152,"|",B152,"|",C152,"|",E152,"|",ROUND(W152,2),"|",ROUND(X152,2),"|",ROUND(Y152,2),"|",ROUND(AB152,2),"|",ROUND(AC152,2),"|",ROUND(AD152,2),"|",ROUND(Z152,2),"|",ROUND(AE152,2),"|",ROUND(AA152*100,2),"%|",ROUND(AF152*100,2),"%|",ROUND(AG152*100,2),"%")</f>
        <v>Tawara Touda|3|Archer|QAABB|2.85|9.41|0.57|3.16|0.83|0.45|22.8|5.73|36.2%|17.85%|27.03%</v>
      </c>
    </row>
    <row r="153" spans="1:34" x14ac:dyDescent="0.25">
      <c r="A153">
        <v>25</v>
      </c>
      <c r="B153">
        <v>2</v>
      </c>
      <c r="C153" t="s">
        <v>114</v>
      </c>
      <c r="D153" t="s">
        <v>117</v>
      </c>
      <c r="E153" t="s">
        <v>6</v>
      </c>
      <c r="F153" s="3">
        <v>1</v>
      </c>
      <c r="G153" s="3">
        <v>2</v>
      </c>
      <c r="H153" s="4">
        <v>2</v>
      </c>
      <c r="I153" s="4">
        <v>3</v>
      </c>
      <c r="J153" s="2">
        <v>2</v>
      </c>
      <c r="K153" s="2">
        <v>1</v>
      </c>
      <c r="L153" s="6">
        <v>0.56000000000000005</v>
      </c>
      <c r="M153" s="5">
        <v>8.8000000000000007</v>
      </c>
      <c r="N153" s="3">
        <v>0</v>
      </c>
      <c r="O153" s="4">
        <v>0</v>
      </c>
      <c r="P153" s="2">
        <v>0</v>
      </c>
      <c r="Q153" s="6">
        <v>0</v>
      </c>
      <c r="R153" s="5">
        <v>0</v>
      </c>
      <c r="S153" s="6">
        <v>0</v>
      </c>
      <c r="T153" s="5">
        <v>0</v>
      </c>
      <c r="U153">
        <f>VLOOKUP(C153,classOrder,2,FALSE)</f>
        <v>5</v>
      </c>
      <c r="V153" s="7">
        <f>F153+H153+J153</f>
        <v>5</v>
      </c>
      <c r="W153" s="12">
        <f>L153*(firstCardNpBonus+VLOOKUP($W$1, cardNpValue, 2, FALSE)*(1+(N153/100))*(1+(Q153/100)))*G153</f>
        <v>2.8000000000000003</v>
      </c>
      <c r="X153" s="13">
        <f>L153*(firstCardNpBonus+VLOOKUP($X$1, cardNpValue, 2,FALSE)*(1+(O153/100))*(1+(Q153/100)))*I153</f>
        <v>9.24</v>
      </c>
      <c r="Y153" s="14">
        <f>L153*(firstCardNpBonus+VLOOKUP($Y$1, cardNpValue, 2,FALSE)*(1+(P153/100))*(1+(Q153/100)))*K153</f>
        <v>0.56000000000000005</v>
      </c>
      <c r="Z153" s="15">
        <f>F153*W153+H153*X153+J153*Y153+S153</f>
        <v>22.400000000000002</v>
      </c>
      <c r="AA153" s="8">
        <f>Z153/maxTotalNpGain</f>
        <v>0.35565676853617073</v>
      </c>
      <c r="AB153" s="12">
        <f>((M153/100)+firstCardStarBonus+VLOOKUP($AB$1, cardStarValue, 2, FALSE)*(1+(N153/100))+(R153/100))*G153</f>
        <v>3.1760000000000002</v>
      </c>
      <c r="AC153" s="13">
        <f>((M153/100)+firstCardStarBonus+VLOOKUP($AC$1, cardStarValue, 2,FALSE )*(1+(O153/100))+(R153/100))*I153</f>
        <v>0.8640000000000001</v>
      </c>
      <c r="AD153" s="14">
        <f>((M153/100)+firstCardStarBonus+VLOOKUP($AD$1, cardStarValue, 2, FALSE)*(1+(P153/100))+(R153/100))*K153</f>
        <v>0.43800000000000006</v>
      </c>
      <c r="AE153" s="11">
        <f>AB153*F153+AC153*H153+AD153*J153+T153</f>
        <v>5.78</v>
      </c>
      <c r="AF153" s="9">
        <f>AE153/maxTotalStarGen</f>
        <v>0.18025884921253704</v>
      </c>
      <c r="AG153" s="10">
        <f>(AA153+AF153)/2</f>
        <v>0.26795780887435389</v>
      </c>
      <c r="AH153" t="str">
        <f>CONCATENATE(D153,"|",B153,"|",C153,"|",E153,"|",ROUND(W153,2),"|",ROUND(X153,2),"|",ROUND(Y153,2),"|",ROUND(AB153,2),"|",ROUND(AC153,2),"|",ROUND(AD153,2),"|",ROUND(Z153,2),"|",ROUND(AE153,2),"|",ROUND(AA153*100,2),"%|",ROUND(AF153*100,2),"%|",ROUND(AG153*100,2),"%")</f>
        <v>Edward Teach|2|Rider|QAABB|2.8|9.24|0.56|3.18|0.86|0.44|22.4|5.78|35.57%|18.03%|26.8%</v>
      </c>
    </row>
    <row r="154" spans="1:34" x14ac:dyDescent="0.25">
      <c r="A154">
        <v>50</v>
      </c>
      <c r="B154">
        <v>1</v>
      </c>
      <c r="C154" t="s">
        <v>185</v>
      </c>
      <c r="D154" t="s">
        <v>189</v>
      </c>
      <c r="E154" t="s">
        <v>50</v>
      </c>
      <c r="F154" s="3">
        <v>1</v>
      </c>
      <c r="G154" s="3">
        <v>2</v>
      </c>
      <c r="H154" s="4">
        <v>1</v>
      </c>
      <c r="I154" s="4">
        <v>2</v>
      </c>
      <c r="J154" s="2">
        <v>3</v>
      </c>
      <c r="K154" s="2">
        <v>1</v>
      </c>
      <c r="L154" s="6">
        <v>1.01</v>
      </c>
      <c r="M154" s="5">
        <v>4.9000000000000004</v>
      </c>
      <c r="N154" s="3">
        <v>0</v>
      </c>
      <c r="O154" s="4">
        <v>0</v>
      </c>
      <c r="P154" s="2">
        <f>12+40/6</f>
        <v>18.666666666666668</v>
      </c>
      <c r="Q154" s="6">
        <v>0</v>
      </c>
      <c r="R154" s="5">
        <v>0</v>
      </c>
      <c r="S154" s="6">
        <f>30/7</f>
        <v>4.2857142857142856</v>
      </c>
      <c r="T154" s="5">
        <v>0</v>
      </c>
      <c r="U154">
        <f>VLOOKUP(C154,classOrder,2,FALSE)</f>
        <v>8</v>
      </c>
      <c r="V154" s="7">
        <f>F154+H154+J154</f>
        <v>5</v>
      </c>
      <c r="W154" s="12">
        <f>L154*(firstCardNpBonus+VLOOKUP($W$1, cardNpValue, 2, FALSE)*(1+(N154/100))*(1+(Q154/100)))*G154</f>
        <v>5.05</v>
      </c>
      <c r="X154" s="13">
        <f>L154*(firstCardNpBonus+VLOOKUP($X$1, cardNpValue, 2,FALSE)*(1+(O154/100))*(1+(Q154/100)))*I154</f>
        <v>11.11</v>
      </c>
      <c r="Y154" s="14">
        <f>L154*(firstCardNpBonus+VLOOKUP($Y$1, cardNpValue, 2,FALSE)*(1+(P154/100))*(1+(Q154/100)))*K154</f>
        <v>1.01</v>
      </c>
      <c r="Z154" s="15">
        <f>F154*W154+H154*X154+J154*Y154+S154</f>
        <v>23.475714285714286</v>
      </c>
      <c r="AA154" s="8">
        <f>Z154/maxTotalNpGain</f>
        <v>0.37273645901498043</v>
      </c>
      <c r="AB154" s="12">
        <f>((M154/100)+firstCardStarBonus+VLOOKUP($AB$1, cardStarValue, 2, FALSE)*(1+(N154/100))+(R154/100))*G154</f>
        <v>3.0979999999999999</v>
      </c>
      <c r="AC154" s="13">
        <f>((M154/100)+firstCardStarBonus+VLOOKUP($AC$1, cardStarValue, 2,FALSE )*(1+(O154/100))+(R154/100))*I154</f>
        <v>0.498</v>
      </c>
      <c r="AD154" s="14">
        <f>((M154/100)+firstCardStarBonus+VLOOKUP($AD$1, cardStarValue, 2, FALSE)*(1+(P154/100))+(R154/100))*K154</f>
        <v>0.42700000000000005</v>
      </c>
      <c r="AE154" s="11">
        <f>AB154*F154+AC154*H154+AD154*J154+T154</f>
        <v>4.8770000000000007</v>
      </c>
      <c r="AF154" s="9">
        <f>AE154/maxTotalStarGen</f>
        <v>0.15209730235459226</v>
      </c>
      <c r="AG154" s="10">
        <f>(AA154+AF154)/2</f>
        <v>0.26241688068478636</v>
      </c>
      <c r="AH154" t="str">
        <f>CONCATENATE(D154,"|",B154,"|",C154,"|",E154,"|",ROUND(W154,2),"|",ROUND(X154,2),"|",ROUND(Y154,2),"|",ROUND(AB154,2),"|",ROUND(AC154,2),"|",ROUND(AD154,2),"|",ROUND(Z154,2),"|",ROUND(AE154,2),"|",ROUND(AA154*100,2),"%|",ROUND(AF154*100,2),"%|",ROUND(AG154*100,2),"%")</f>
        <v>Spartacus|1|Berserker|QABBB|5.05|11.11|1.01|3.1|0.5|0.43|23.48|4.88|37.27%|15.21%|26.24%</v>
      </c>
    </row>
    <row r="155" spans="1:34" x14ac:dyDescent="0.25">
      <c r="A155">
        <v>58</v>
      </c>
      <c r="B155">
        <v>4</v>
      </c>
      <c r="C155" t="s">
        <v>185</v>
      </c>
      <c r="D155" t="s">
        <v>197</v>
      </c>
      <c r="E155" t="s">
        <v>50</v>
      </c>
      <c r="F155" s="3">
        <v>1</v>
      </c>
      <c r="G155" s="3">
        <v>2</v>
      </c>
      <c r="H155" s="4">
        <v>1</v>
      </c>
      <c r="I155" s="4">
        <v>3</v>
      </c>
      <c r="J155" s="2">
        <v>3</v>
      </c>
      <c r="K155" s="2">
        <v>2</v>
      </c>
      <c r="L155" s="6">
        <v>0.71</v>
      </c>
      <c r="M155" s="5">
        <v>5</v>
      </c>
      <c r="N155" s="3">
        <v>0</v>
      </c>
      <c r="O155" s="4">
        <v>0</v>
      </c>
      <c r="P155" s="2">
        <v>6</v>
      </c>
      <c r="Q155" s="6">
        <v>0</v>
      </c>
      <c r="R155" s="5">
        <v>0</v>
      </c>
      <c r="S155" s="6">
        <v>0</v>
      </c>
      <c r="T155" s="5">
        <v>0</v>
      </c>
      <c r="U155">
        <f>VLOOKUP(C155,classOrder,2,FALSE)</f>
        <v>8</v>
      </c>
      <c r="V155" s="7">
        <f>F155+H155+J155</f>
        <v>5</v>
      </c>
      <c r="W155" s="12">
        <f>L155*(firstCardNpBonus+VLOOKUP($W$1, cardNpValue, 2, FALSE)*(1+(N155/100))*(1+(Q155/100)))*G155</f>
        <v>3.55</v>
      </c>
      <c r="X155" s="13">
        <f>L155*(firstCardNpBonus+VLOOKUP($X$1, cardNpValue, 2,FALSE)*(1+(O155/100))*(1+(Q155/100)))*I155</f>
        <v>11.715</v>
      </c>
      <c r="Y155" s="14">
        <f>L155*(firstCardNpBonus+VLOOKUP($Y$1, cardNpValue, 2,FALSE)*(1+(P155/100))*(1+(Q155/100)))*K155</f>
        <v>1.42</v>
      </c>
      <c r="Z155" s="15">
        <f>F155*W155+H155*X155+J155*Y155+S155</f>
        <v>19.524999999999999</v>
      </c>
      <c r="AA155" s="8">
        <f>Z155/maxTotalNpGain</f>
        <v>0.31000885739592554</v>
      </c>
      <c r="AB155" s="12">
        <f>((M155/100)+firstCardStarBonus+VLOOKUP($AB$1, cardStarValue, 2, FALSE)*(1+(N155/100))+(R155/100))*G155</f>
        <v>3.1</v>
      </c>
      <c r="AC155" s="13">
        <f>((M155/100)+firstCardStarBonus+VLOOKUP($AC$1, cardStarValue, 2,FALSE )*(1+(O155/100))+(R155/100))*I155</f>
        <v>0.75</v>
      </c>
      <c r="AD155" s="14">
        <f>((M155/100)+firstCardStarBonus+VLOOKUP($AD$1, cardStarValue, 2, FALSE)*(1+(P155/100))+(R155/100))*K155</f>
        <v>0.81800000000000006</v>
      </c>
      <c r="AE155" s="11">
        <f>AB155*F155+AC155*H155+AD155*J155+T155</f>
        <v>6.3040000000000003</v>
      </c>
      <c r="AF155" s="9">
        <f>AE155/maxTotalStarGen</f>
        <v>0.19660065491969439</v>
      </c>
      <c r="AG155" s="10">
        <f>(AA155+AF155)/2</f>
        <v>0.25330475615780995</v>
      </c>
      <c r="AH155" t="str">
        <f>CONCATENATE(D155,"|",B155,"|",C155,"|",E155,"|",ROUND(W155,2),"|",ROUND(X155,2),"|",ROUND(Y155,2),"|",ROUND(AB155,2),"|",ROUND(AC155,2),"|",ROUND(AD155,2),"|",ROUND(Z155,2),"|",ROUND(AE155,2),"|",ROUND(AA155*100,2),"%|",ROUND(AF155*100,2),"%|",ROUND(AG155*100,2),"%")</f>
        <v>Tamamo Cat|4|Berserker|QABBB|3.55|11.72|1.42|3.1|0.75|0.82|19.53|6.3|31%|19.66%|25.33%</v>
      </c>
    </row>
    <row r="156" spans="1:34" x14ac:dyDescent="0.25">
      <c r="A156">
        <v>72</v>
      </c>
      <c r="B156">
        <v>3</v>
      </c>
      <c r="C156" t="s">
        <v>4</v>
      </c>
      <c r="D156" t="s">
        <v>49</v>
      </c>
      <c r="E156" t="s">
        <v>50</v>
      </c>
      <c r="F156" s="3">
        <v>1</v>
      </c>
      <c r="G156" s="3">
        <v>2</v>
      </c>
      <c r="H156" s="4">
        <v>1</v>
      </c>
      <c r="I156" s="4">
        <v>2</v>
      </c>
      <c r="J156" s="2">
        <v>3</v>
      </c>
      <c r="K156" s="2">
        <v>1</v>
      </c>
      <c r="L156" s="6">
        <v>1.0900000000000001</v>
      </c>
      <c r="M156" s="5">
        <v>10</v>
      </c>
      <c r="N156" s="3">
        <v>8</v>
      </c>
      <c r="O156" s="4">
        <v>0</v>
      </c>
      <c r="P156" s="2">
        <v>0</v>
      </c>
      <c r="Q156" s="6">
        <v>0</v>
      </c>
      <c r="R156" s="5">
        <v>0</v>
      </c>
      <c r="S156" s="6">
        <v>0</v>
      </c>
      <c r="T156" s="5">
        <v>0</v>
      </c>
      <c r="U156">
        <f>VLOOKUP(C156,classOrder,2,FALSE)</f>
        <v>2</v>
      </c>
      <c r="V156" s="7">
        <f>F156+H156+J156</f>
        <v>5</v>
      </c>
      <c r="W156" s="12">
        <f>L156*(firstCardNpBonus+VLOOKUP($W$1, cardNpValue, 2, FALSE)*(1+(N156/100))*(1+(Q156/100)))*G156</f>
        <v>5.7116000000000007</v>
      </c>
      <c r="X156" s="13">
        <f>L156*(firstCardNpBonus+VLOOKUP($X$1, cardNpValue, 2,FALSE)*(1+(O156/100))*(1+(Q156/100)))*I156</f>
        <v>11.99</v>
      </c>
      <c r="Y156" s="14">
        <f>L156*(firstCardNpBonus+VLOOKUP($Y$1, cardNpValue, 2,FALSE)*(1+(P156/100))*(1+(Q156/100)))*K156</f>
        <v>1.0900000000000001</v>
      </c>
      <c r="Z156" s="15">
        <f>F156*W156+H156*X156+J156*Y156+S156</f>
        <v>20.971599999999999</v>
      </c>
      <c r="AA156" s="8">
        <f>Z156/maxTotalNpGain</f>
        <v>0.33297729852826596</v>
      </c>
      <c r="AB156" s="12">
        <f>((M156/100)+firstCardStarBonus+VLOOKUP($AB$1, cardStarValue, 2, FALSE)*(1+(N156/100))+(R156/100))*G156</f>
        <v>3.4080000000000004</v>
      </c>
      <c r="AC156" s="13">
        <f>((M156/100)+firstCardStarBonus+VLOOKUP($AC$1, cardStarValue, 2,FALSE )*(1+(O156/100))+(R156/100))*I156</f>
        <v>0.60000000000000009</v>
      </c>
      <c r="AD156" s="14">
        <f>((M156/100)+firstCardStarBonus+VLOOKUP($AD$1, cardStarValue, 2, FALSE)*(1+(P156/100))+(R156/100))*K156</f>
        <v>0.45000000000000007</v>
      </c>
      <c r="AE156" s="11">
        <f>AB156*F156+AC156*H156+AD156*J156+T156</f>
        <v>5.3580000000000005</v>
      </c>
      <c r="AF156" s="9">
        <f>AE156/maxTotalStarGen</f>
        <v>0.16709808202089507</v>
      </c>
      <c r="AG156" s="10">
        <f>(AA156+AF156)/2</f>
        <v>0.2500376902745805</v>
      </c>
      <c r="AH156" t="str">
        <f>CONCATENATE(D156,"|",B156,"|",C156,"|",E156,"|",ROUND(W156,2),"|",ROUND(X156,2),"|",ROUND(Y156,2),"|",ROUND(AB156,2),"|",ROUND(AC156,2),"|",ROUND(AD156,2),"|",ROUND(Z156,2),"|",ROUND(AE156,2),"|",ROUND(AA156*100,2),"%|",ROUND(AF156*100,2),"%|",ROUND(AG156*100,2),"%")</f>
        <v>Fergus Mac Roich|3|Saber|QABBB|5.71|11.99|1.09|3.41|0.6|0.45|20.97|5.36|33.3%|16.71%|25%</v>
      </c>
    </row>
    <row r="157" spans="1:34" x14ac:dyDescent="0.25">
      <c r="A157">
        <v>47</v>
      </c>
      <c r="B157">
        <v>4</v>
      </c>
      <c r="C157" t="s">
        <v>185</v>
      </c>
      <c r="D157" t="s">
        <v>186</v>
      </c>
      <c r="E157" t="s">
        <v>50</v>
      </c>
      <c r="F157" s="3">
        <v>1</v>
      </c>
      <c r="G157" s="3">
        <v>2</v>
      </c>
      <c r="H157" s="4">
        <v>1</v>
      </c>
      <c r="I157" s="4">
        <v>2</v>
      </c>
      <c r="J157" s="2">
        <v>3</v>
      </c>
      <c r="K157" s="2">
        <v>1</v>
      </c>
      <c r="L157" s="6">
        <v>1.07</v>
      </c>
      <c r="M157" s="5">
        <v>5</v>
      </c>
      <c r="N157" s="3">
        <v>0</v>
      </c>
      <c r="O157" s="4">
        <v>0</v>
      </c>
      <c r="P157" s="2">
        <v>8</v>
      </c>
      <c r="Q157" s="6">
        <v>0</v>
      </c>
      <c r="R157" s="5">
        <v>0</v>
      </c>
      <c r="S157" s="6">
        <v>0</v>
      </c>
      <c r="T157" s="5">
        <v>0</v>
      </c>
      <c r="U157">
        <f>VLOOKUP(C157,classOrder,2,FALSE)</f>
        <v>8</v>
      </c>
      <c r="V157" s="7">
        <f>F157+H157+J157</f>
        <v>5</v>
      </c>
      <c r="W157" s="12">
        <f>L157*(firstCardNpBonus+VLOOKUP($W$1, cardNpValue, 2, FALSE)*(1+(N157/100))*(1+(Q157/100)))*G157</f>
        <v>5.3500000000000005</v>
      </c>
      <c r="X157" s="13">
        <f>L157*(firstCardNpBonus+VLOOKUP($X$1, cardNpValue, 2,FALSE)*(1+(O157/100))*(1+(Q157/100)))*I157</f>
        <v>11.770000000000001</v>
      </c>
      <c r="Y157" s="14">
        <f>L157*(firstCardNpBonus+VLOOKUP($Y$1, cardNpValue, 2,FALSE)*(1+(P157/100))*(1+(Q157/100)))*K157</f>
        <v>1.07</v>
      </c>
      <c r="Z157" s="15">
        <f>F157*W157+H157*X157+J157*Y157+S157</f>
        <v>20.330000000000002</v>
      </c>
      <c r="AA157" s="8">
        <f>Z157/maxTotalNpGain</f>
        <v>0.32279027251519427</v>
      </c>
      <c r="AB157" s="12">
        <f>((M157/100)+firstCardStarBonus+VLOOKUP($AB$1, cardStarValue, 2, FALSE)*(1+(N157/100))+(R157/100))*G157</f>
        <v>3.1</v>
      </c>
      <c r="AC157" s="13">
        <f>((M157/100)+firstCardStarBonus+VLOOKUP($AC$1, cardStarValue, 2,FALSE )*(1+(O157/100))+(R157/100))*I157</f>
        <v>0.5</v>
      </c>
      <c r="AD157" s="14">
        <f>((M157/100)+firstCardStarBonus+VLOOKUP($AD$1, cardStarValue, 2, FALSE)*(1+(P157/100))+(R157/100))*K157</f>
        <v>0.41200000000000003</v>
      </c>
      <c r="AE157" s="11">
        <f>AB157*F157+AC157*H157+AD157*J157+T157</f>
        <v>4.8360000000000003</v>
      </c>
      <c r="AF157" s="9">
        <f>AE157/maxTotalStarGen</f>
        <v>0.15081864961796354</v>
      </c>
      <c r="AG157" s="10">
        <f>(AA157+AF157)/2</f>
        <v>0.2368044610665789</v>
      </c>
      <c r="AH157" t="str">
        <f>CONCATENATE(D157,"|",B157,"|",C157,"|",E157,"|",ROUND(W157,2),"|",ROUND(X157,2),"|",ROUND(Y157,2),"|",ROUND(AB157,2),"|",ROUND(AC157,2),"|",ROUND(AD157,2),"|",ROUND(Z157,2),"|",ROUND(AE157,2),"|",ROUND(AA157*100,2),"%|",ROUND(AF157*100,2),"%|",ROUND(AG157*100,2),"%")</f>
        <v>Heracles|4|Berserker|QABBB|5.35|11.77|1.07|3.1|0.5|0.41|20.33|4.84|32.28%|15.08%|23.68%</v>
      </c>
    </row>
    <row r="158" spans="1:34" x14ac:dyDescent="0.25">
      <c r="A158">
        <v>49</v>
      </c>
      <c r="B158">
        <v>3</v>
      </c>
      <c r="C158" t="s">
        <v>185</v>
      </c>
      <c r="D158" t="s">
        <v>188</v>
      </c>
      <c r="E158" t="s">
        <v>50</v>
      </c>
      <c r="F158" s="3">
        <v>1</v>
      </c>
      <c r="G158" s="3">
        <v>2</v>
      </c>
      <c r="H158" s="4">
        <v>1</v>
      </c>
      <c r="I158" s="4">
        <v>2</v>
      </c>
      <c r="J158" s="2">
        <v>3</v>
      </c>
      <c r="K158" s="2">
        <v>1</v>
      </c>
      <c r="L158" s="6">
        <v>1.04</v>
      </c>
      <c r="M158" s="5">
        <v>5</v>
      </c>
      <c r="N158" s="3">
        <v>0</v>
      </c>
      <c r="O158" s="4">
        <v>0</v>
      </c>
      <c r="P158" s="2">
        <v>11</v>
      </c>
      <c r="Q158" s="6">
        <v>0</v>
      </c>
      <c r="R158" s="5">
        <v>0</v>
      </c>
      <c r="S158" s="6">
        <v>0</v>
      </c>
      <c r="T158" s="5">
        <v>0</v>
      </c>
      <c r="U158">
        <f>VLOOKUP(C158,classOrder,2,FALSE)</f>
        <v>8</v>
      </c>
      <c r="V158" s="7">
        <f>F158+H158+J158</f>
        <v>5</v>
      </c>
      <c r="W158" s="12">
        <f>L158*(firstCardNpBonus+VLOOKUP($W$1, cardNpValue, 2, FALSE)*(1+(N158/100))*(1+(Q158/100)))*G158</f>
        <v>5.2</v>
      </c>
      <c r="X158" s="13">
        <f>L158*(firstCardNpBonus+VLOOKUP($X$1, cardNpValue, 2,FALSE)*(1+(O158/100))*(1+(Q158/100)))*I158</f>
        <v>11.440000000000001</v>
      </c>
      <c r="Y158" s="14">
        <f>L158*(firstCardNpBonus+VLOOKUP($Y$1, cardNpValue, 2,FALSE)*(1+(P158/100))*(1+(Q158/100)))*K158</f>
        <v>1.04</v>
      </c>
      <c r="Z158" s="15">
        <f>F158*W158+H158*X158+J158*Y158+S158</f>
        <v>19.760000000000002</v>
      </c>
      <c r="AA158" s="8">
        <f>Z158/maxTotalNpGain</f>
        <v>0.31374007795869346</v>
      </c>
      <c r="AB158" s="12">
        <f>((M158/100)+firstCardStarBonus+VLOOKUP($AB$1, cardStarValue, 2, FALSE)*(1+(N158/100))+(R158/100))*G158</f>
        <v>3.1</v>
      </c>
      <c r="AC158" s="13">
        <f>((M158/100)+firstCardStarBonus+VLOOKUP($AC$1, cardStarValue, 2,FALSE )*(1+(O158/100))+(R158/100))*I158</f>
        <v>0.5</v>
      </c>
      <c r="AD158" s="14">
        <f>((M158/100)+firstCardStarBonus+VLOOKUP($AD$1, cardStarValue, 2, FALSE)*(1+(P158/100))+(R158/100))*K158</f>
        <v>0.41649999999999998</v>
      </c>
      <c r="AE158" s="11">
        <f>AB158*F158+AC158*H158+AD158*J158+T158</f>
        <v>4.8494999999999999</v>
      </c>
      <c r="AF158" s="9">
        <f>AE158/maxTotalStarGen</f>
        <v>0.15123966942148762</v>
      </c>
      <c r="AG158" s="10">
        <f>(AA158+AF158)/2</f>
        <v>0.23248987369009055</v>
      </c>
      <c r="AH158" t="str">
        <f>CONCATENATE(D158,"|",B158,"|",C158,"|",E158,"|",ROUND(W158,2),"|",ROUND(X158,2),"|",ROUND(Y158,2),"|",ROUND(AB158,2),"|",ROUND(AC158,2),"|",ROUND(AD158,2),"|",ROUND(Z158,2),"|",ROUND(AE158,2),"|",ROUND(AA158*100,2),"%|",ROUND(AF158*100,2),"%|",ROUND(AG158*100,2),"%")</f>
        <v>Lu Bu|3|Berserker|QABBB|5.2|11.44|1.04|3.1|0.5|0.42|19.76|4.85|31.37%|15.12%|23.25%</v>
      </c>
    </row>
    <row r="159" spans="1:34" x14ac:dyDescent="0.25">
      <c r="A159">
        <v>52</v>
      </c>
      <c r="B159">
        <v>5</v>
      </c>
      <c r="C159" t="s">
        <v>185</v>
      </c>
      <c r="D159" t="s">
        <v>191</v>
      </c>
      <c r="E159" t="s">
        <v>6</v>
      </c>
      <c r="F159" s="3">
        <v>1</v>
      </c>
      <c r="G159" s="3">
        <v>2</v>
      </c>
      <c r="H159" s="4">
        <v>2</v>
      </c>
      <c r="I159" s="4">
        <v>2</v>
      </c>
      <c r="J159" s="2">
        <v>2</v>
      </c>
      <c r="K159" s="2">
        <v>1</v>
      </c>
      <c r="L159" s="6">
        <v>0.5</v>
      </c>
      <c r="M159" s="5">
        <v>4.9000000000000004</v>
      </c>
      <c r="N159" s="3">
        <v>0</v>
      </c>
      <c r="O159" s="4">
        <v>0</v>
      </c>
      <c r="P159" s="2">
        <v>12</v>
      </c>
      <c r="Q159" s="6">
        <v>0</v>
      </c>
      <c r="R159" s="5">
        <v>0</v>
      </c>
      <c r="S159" s="6">
        <f>30/6</f>
        <v>5</v>
      </c>
      <c r="T159" s="5">
        <v>0</v>
      </c>
      <c r="U159">
        <f>VLOOKUP(C159,classOrder,2,FALSE)</f>
        <v>8</v>
      </c>
      <c r="V159" s="7">
        <f>F159+H159+J159</f>
        <v>5</v>
      </c>
      <c r="W159" s="12">
        <f>L159*(firstCardNpBonus+VLOOKUP($W$1, cardNpValue, 2, FALSE)*(1+(N159/100))*(1+(Q159/100)))*G159</f>
        <v>2.5</v>
      </c>
      <c r="X159" s="13">
        <f>L159*(firstCardNpBonus+VLOOKUP($X$1, cardNpValue, 2,FALSE)*(1+(O159/100))*(1+(Q159/100)))*I159</f>
        <v>5.5</v>
      </c>
      <c r="Y159" s="14">
        <f>L159*(firstCardNpBonus+VLOOKUP($Y$1, cardNpValue, 2,FALSE)*(1+(P159/100))*(1+(Q159/100)))*K159</f>
        <v>0.5</v>
      </c>
      <c r="Z159" s="15">
        <f>F159*W159+H159*X159+J159*Y159+S159</f>
        <v>19.5</v>
      </c>
      <c r="AA159" s="8">
        <f>Z159/maxTotalNpGain</f>
        <v>0.3096119190381843</v>
      </c>
      <c r="AB159" s="12">
        <f>((M159/100)+firstCardStarBonus+VLOOKUP($AB$1, cardStarValue, 2, FALSE)*(1+(N159/100))+(R159/100))*G159</f>
        <v>3.0979999999999999</v>
      </c>
      <c r="AC159" s="13">
        <f>((M159/100)+firstCardStarBonus+VLOOKUP($AC$1, cardStarValue, 2,FALSE )*(1+(O159/100))+(R159/100))*I159</f>
        <v>0.498</v>
      </c>
      <c r="AD159" s="14">
        <f>((M159/100)+firstCardStarBonus+VLOOKUP($AD$1, cardStarValue, 2, FALSE)*(1+(P159/100))+(R159/100))*K159</f>
        <v>0.41700000000000004</v>
      </c>
      <c r="AE159" s="11">
        <f>AB159*F159+AC159*H159+AD159*J159+T159</f>
        <v>4.927999999999999</v>
      </c>
      <c r="AF159" s="9">
        <f>AE159/maxTotalStarGen</f>
        <v>0.1536878216123499</v>
      </c>
      <c r="AG159" s="10">
        <f>(AA159+AF159)/2</f>
        <v>0.2316498703252671</v>
      </c>
      <c r="AH159" t="str">
        <f>CONCATENATE(D159,"|",B159,"|",C159,"|",E159,"|",ROUND(W159,2),"|",ROUND(X159,2),"|",ROUND(Y159,2),"|",ROUND(AB159,2),"|",ROUND(AC159,2),"|",ROUND(AD159,2),"|",ROUND(Z159,2),"|",ROUND(AE159,2),"|",ROUND(AA159*100,2),"%|",ROUND(AF159*100,2),"%|",ROUND(AG159*100,2),"%")</f>
        <v>Vlad III|5|Berserker|QAABB|2.5|5.5|0.5|3.1|0.5|0.42|19.5|4.93|30.96%|15.37%|23.16%</v>
      </c>
    </row>
    <row r="160" spans="1:34" x14ac:dyDescent="0.25">
      <c r="A160">
        <v>55</v>
      </c>
      <c r="B160">
        <v>3</v>
      </c>
      <c r="C160" t="s">
        <v>185</v>
      </c>
      <c r="D160" t="s">
        <v>194</v>
      </c>
      <c r="E160" t="s">
        <v>50</v>
      </c>
      <c r="F160" s="3">
        <v>1</v>
      </c>
      <c r="G160" s="3">
        <v>2</v>
      </c>
      <c r="H160" s="4">
        <v>1</v>
      </c>
      <c r="I160" s="4">
        <v>3</v>
      </c>
      <c r="J160" s="2">
        <v>3</v>
      </c>
      <c r="K160" s="2">
        <v>1</v>
      </c>
      <c r="L160" s="6">
        <v>0.67</v>
      </c>
      <c r="M160" s="5">
        <v>5</v>
      </c>
      <c r="N160" s="3">
        <v>0</v>
      </c>
      <c r="O160" s="4">
        <v>0</v>
      </c>
      <c r="P160" s="2">
        <v>8</v>
      </c>
      <c r="Q160" s="6">
        <f>45*3/6</f>
        <v>22.5</v>
      </c>
      <c r="R160" s="5">
        <v>0</v>
      </c>
      <c r="S160" s="6">
        <v>0</v>
      </c>
      <c r="T160" s="5">
        <v>0</v>
      </c>
      <c r="U160">
        <f>VLOOKUP(C160,classOrder,2,FALSE)</f>
        <v>8</v>
      </c>
      <c r="V160" s="7">
        <f>F160+H160+J160</f>
        <v>5</v>
      </c>
      <c r="W160" s="12">
        <f>L160*(firstCardNpBonus+VLOOKUP($W$1, cardNpValue, 2, FALSE)*(1+(N160/100))*(1+(Q160/100)))*G160</f>
        <v>3.8022500000000008</v>
      </c>
      <c r="X160" s="13">
        <f>L160*(firstCardNpBonus+VLOOKUP($X$1, cardNpValue, 2,FALSE)*(1+(O160/100))*(1+(Q160/100)))*I160</f>
        <v>13.090125</v>
      </c>
      <c r="Y160" s="14">
        <f>L160*(firstCardNpBonus+VLOOKUP($Y$1, cardNpValue, 2,FALSE)*(1+(P160/100))*(1+(Q160/100)))*K160</f>
        <v>0.67</v>
      </c>
      <c r="Z160" s="15">
        <f>F160*W160+H160*X160+J160*Y160+S160</f>
        <v>18.902375000000003</v>
      </c>
      <c r="AA160" s="8">
        <f>Z160/maxTotalNpGain</f>
        <v>0.3001231075963795</v>
      </c>
      <c r="AB160" s="12">
        <f>((M160/100)+firstCardStarBonus+VLOOKUP($AB$1, cardStarValue, 2, FALSE)*(1+(N160/100))+(R160/100))*G160</f>
        <v>3.1</v>
      </c>
      <c r="AC160" s="13">
        <f>((M160/100)+firstCardStarBonus+VLOOKUP($AC$1, cardStarValue, 2,FALSE )*(1+(O160/100))+(R160/100))*I160</f>
        <v>0.75</v>
      </c>
      <c r="AD160" s="14">
        <f>((M160/100)+firstCardStarBonus+VLOOKUP($AD$1, cardStarValue, 2, FALSE)*(1+(P160/100))+(R160/100))*K160</f>
        <v>0.41200000000000003</v>
      </c>
      <c r="AE160" s="11">
        <f>AB160*F160+AC160*H160+AD160*J160+T160</f>
        <v>5.0860000000000003</v>
      </c>
      <c r="AF160" s="9">
        <f>AE160/maxTotalStarGen</f>
        <v>0.15861531264618745</v>
      </c>
      <c r="AG160" s="10">
        <f>(AA160+AF160)/2</f>
        <v>0.22936921012128347</v>
      </c>
      <c r="AH160" t="str">
        <f>CONCATENATE(D160,"|",B160,"|",C160,"|",E160,"|",ROUND(W160,2),"|",ROUND(X160,2),"|",ROUND(Y160,2),"|",ROUND(AB160,2),"|",ROUND(AC160,2),"|",ROUND(AD160,2),"|",ROUND(Z160,2),"|",ROUND(AE160,2),"|",ROUND(AA160*100,2),"%|",ROUND(AF160*100,2),"%|",ROUND(AG160*100,2),"%")</f>
        <v>Darius III|3|Berserker|QABBB|3.8|13.09|0.67|3.1|0.75|0.41|18.9|5.09|30.01%|15.86%|22.94%</v>
      </c>
    </row>
    <row r="161" spans="1:34" x14ac:dyDescent="0.25">
      <c r="A161">
        <v>57</v>
      </c>
      <c r="B161">
        <v>2</v>
      </c>
      <c r="C161" t="s">
        <v>185</v>
      </c>
      <c r="D161" t="s">
        <v>196</v>
      </c>
      <c r="E161" t="s">
        <v>50</v>
      </c>
      <c r="F161" s="3">
        <v>1</v>
      </c>
      <c r="G161" s="3">
        <v>2</v>
      </c>
      <c r="H161" s="4">
        <v>1</v>
      </c>
      <c r="I161" s="4">
        <v>2</v>
      </c>
      <c r="J161" s="2">
        <v>3</v>
      </c>
      <c r="K161" s="2">
        <v>1</v>
      </c>
      <c r="L161" s="6">
        <v>1.02</v>
      </c>
      <c r="M161" s="5">
        <v>5</v>
      </c>
      <c r="N161" s="3">
        <v>0</v>
      </c>
      <c r="O161" s="4">
        <v>0</v>
      </c>
      <c r="P161" s="2">
        <v>8</v>
      </c>
      <c r="Q161" s="6">
        <v>0</v>
      </c>
      <c r="R161" s="5">
        <v>0</v>
      </c>
      <c r="S161" s="6">
        <v>0</v>
      </c>
      <c r="T161" s="5">
        <v>0</v>
      </c>
      <c r="U161">
        <f>VLOOKUP(C161,classOrder,2,FALSE)</f>
        <v>8</v>
      </c>
      <c r="V161" s="7">
        <f>F161+H161+J161</f>
        <v>5</v>
      </c>
      <c r="W161" s="12">
        <f>L161*(firstCardNpBonus+VLOOKUP($W$1, cardNpValue, 2, FALSE)*(1+(N161/100))*(1+(Q161/100)))*G161</f>
        <v>5.0999999999999996</v>
      </c>
      <c r="X161" s="13">
        <f>L161*(firstCardNpBonus+VLOOKUP($X$1, cardNpValue, 2,FALSE)*(1+(O161/100))*(1+(Q161/100)))*I161</f>
        <v>11.22</v>
      </c>
      <c r="Y161" s="14">
        <f>L161*(firstCardNpBonus+VLOOKUP($Y$1, cardNpValue, 2,FALSE)*(1+(P161/100))*(1+(Q161/100)))*K161</f>
        <v>1.02</v>
      </c>
      <c r="Z161" s="15">
        <f>F161*W161+H161*X161+J161*Y161+S161</f>
        <v>19.38</v>
      </c>
      <c r="AA161" s="8">
        <f>Z161/maxTotalNpGain</f>
        <v>0.30770661492102624</v>
      </c>
      <c r="AB161" s="12">
        <f>((M161/100)+firstCardStarBonus+VLOOKUP($AB$1, cardStarValue, 2, FALSE)*(1+(N161/100))+(R161/100))*G161</f>
        <v>3.1</v>
      </c>
      <c r="AC161" s="13">
        <f>((M161/100)+firstCardStarBonus+VLOOKUP($AC$1, cardStarValue, 2,FALSE )*(1+(O161/100))+(R161/100))*I161</f>
        <v>0.5</v>
      </c>
      <c r="AD161" s="14">
        <f>((M161/100)+firstCardStarBonus+VLOOKUP($AD$1, cardStarValue, 2, FALSE)*(1+(P161/100))+(R161/100))*K161</f>
        <v>0.41200000000000003</v>
      </c>
      <c r="AE161" s="11">
        <f>AB161*F161+AC161*H161+AD161*J161+T161</f>
        <v>4.8360000000000003</v>
      </c>
      <c r="AF161" s="9">
        <f>AE161/maxTotalStarGen</f>
        <v>0.15081864961796354</v>
      </c>
      <c r="AG161" s="10">
        <f>(AA161+AF161)/2</f>
        <v>0.22926263226949489</v>
      </c>
      <c r="AH161" t="str">
        <f>CONCATENATE(D161,"|",B161,"|",C161,"|",E161,"|",ROUND(W161,2),"|",ROUND(X161,2),"|",ROUND(Y161,2),"|",ROUND(AB161,2),"|",ROUND(AC161,2),"|",ROUND(AD161,2),"|",ROUND(Z161,2),"|",ROUND(AE161,2),"|",ROUND(AA161*100,2),"%|",ROUND(AF161*100,2),"%|",ROUND(AG161*100,2),"%")</f>
        <v>Eric Bloodaxe|2|Berserker|QABBB|5.1|11.22|1.02|3.1|0.5|0.41|19.38|4.84|30.77%|15.08%|22.93%</v>
      </c>
    </row>
    <row r="162" spans="1:34" x14ac:dyDescent="0.25">
      <c r="A162">
        <v>82</v>
      </c>
      <c r="B162">
        <v>4</v>
      </c>
      <c r="C162" t="s">
        <v>185</v>
      </c>
      <c r="D162" t="s">
        <v>200</v>
      </c>
      <c r="E162" t="s">
        <v>50</v>
      </c>
      <c r="F162" s="3">
        <v>1</v>
      </c>
      <c r="G162" s="3">
        <v>2</v>
      </c>
      <c r="H162" s="4">
        <v>1</v>
      </c>
      <c r="I162" s="4">
        <v>2</v>
      </c>
      <c r="J162" s="2">
        <v>3</v>
      </c>
      <c r="K162" s="2">
        <v>1</v>
      </c>
      <c r="L162" s="6">
        <v>0.83</v>
      </c>
      <c r="M162" s="5">
        <v>4.9000000000000004</v>
      </c>
      <c r="N162" s="3">
        <v>0</v>
      </c>
      <c r="O162" s="4">
        <v>0</v>
      </c>
      <c r="P162" s="2">
        <v>4</v>
      </c>
      <c r="Q162" s="6">
        <f>45*3/5</f>
        <v>27</v>
      </c>
      <c r="R162" s="5">
        <v>0</v>
      </c>
      <c r="S162" s="6">
        <v>0</v>
      </c>
      <c r="T162" s="5">
        <v>0</v>
      </c>
      <c r="U162">
        <f>VLOOKUP(C162,classOrder,2,FALSE)</f>
        <v>8</v>
      </c>
      <c r="V162" s="7">
        <f>F162+H162+J162</f>
        <v>5</v>
      </c>
      <c r="W162" s="12">
        <f>L162*(firstCardNpBonus+VLOOKUP($W$1, cardNpValue, 2, FALSE)*(1+(N162/100))*(1+(Q162/100)))*G162</f>
        <v>4.8223000000000003</v>
      </c>
      <c r="X162" s="13">
        <f>L162*(firstCardNpBonus+VLOOKUP($X$1, cardNpValue, 2,FALSE)*(1+(O162/100))*(1+(Q162/100)))*I162</f>
        <v>11.146899999999999</v>
      </c>
      <c r="Y162" s="14">
        <f>L162*(firstCardNpBonus+VLOOKUP($Y$1, cardNpValue, 2,FALSE)*(1+(P162/100))*(1+(Q162/100)))*K162</f>
        <v>0.83</v>
      </c>
      <c r="Z162" s="15">
        <f>F162*W162+H162*X162+J162*Y162+S162</f>
        <v>18.459199999999999</v>
      </c>
      <c r="AA162" s="8">
        <f>Z162/maxTotalNpGain</f>
        <v>0.29308658132870008</v>
      </c>
      <c r="AB162" s="12">
        <f>((M162/100)+firstCardStarBonus+VLOOKUP($AB$1, cardStarValue, 2, FALSE)*(1+(N162/100))+(R162/100))*G162</f>
        <v>3.0979999999999999</v>
      </c>
      <c r="AC162" s="13">
        <f>((M162/100)+firstCardStarBonus+VLOOKUP($AC$1, cardStarValue, 2,FALSE )*(1+(O162/100))+(R162/100))*I162</f>
        <v>0.498</v>
      </c>
      <c r="AD162" s="14">
        <f>((M162/100)+firstCardStarBonus+VLOOKUP($AD$1, cardStarValue, 2, FALSE)*(1+(P162/100))+(R162/100))*K162</f>
        <v>0.40500000000000003</v>
      </c>
      <c r="AE162" s="11">
        <f>AB162*F162+AC162*H162+AD162*J162+T162</f>
        <v>4.8109999999999999</v>
      </c>
      <c r="AF162" s="9">
        <f>AE162/maxTotalStarGen</f>
        <v>0.15003898331514112</v>
      </c>
      <c r="AG162" s="10">
        <f>(AA162+AF162)/2</f>
        <v>0.22156278232192061</v>
      </c>
      <c r="AH162" t="str">
        <f>CONCATENATE(D162,"|",B162,"|",C162,"|",E162,"|",ROUND(W162,2),"|",ROUND(X162,2),"|",ROUND(Y162,2),"|",ROUND(AB162,2),"|",ROUND(AC162,2),"|",ROUND(AD162,2),"|",ROUND(Z162,2),"|",ROUND(AE162,2),"|",ROUND(AA162*100,2),"%|",ROUND(AF162*100,2),"%|",ROUND(AG162*100,2),"%")</f>
        <v>Frankenstein|4|Berserker|QABBB|4.82|11.15|0.83|3.1|0.5|0.41|18.46|4.81|29.31%|15%|22.16%</v>
      </c>
    </row>
    <row r="163" spans="1:34" x14ac:dyDescent="0.25">
      <c r="A163">
        <v>54</v>
      </c>
      <c r="B163">
        <v>2</v>
      </c>
      <c r="C163" t="s">
        <v>185</v>
      </c>
      <c r="D163" t="s">
        <v>193</v>
      </c>
      <c r="E163" t="s">
        <v>50</v>
      </c>
      <c r="F163" s="3">
        <v>1</v>
      </c>
      <c r="G163" s="3">
        <v>2</v>
      </c>
      <c r="H163" s="4">
        <v>1</v>
      </c>
      <c r="I163" s="4">
        <v>3</v>
      </c>
      <c r="J163" s="2">
        <v>3</v>
      </c>
      <c r="K163" s="2">
        <v>1</v>
      </c>
      <c r="L163" s="6">
        <v>0.68</v>
      </c>
      <c r="M163" s="5">
        <v>5</v>
      </c>
      <c r="N163" s="3">
        <v>0</v>
      </c>
      <c r="O163" s="4">
        <v>0</v>
      </c>
      <c r="P163" s="2">
        <f>11+50/3</f>
        <v>27.666666666666668</v>
      </c>
      <c r="Q163" s="6">
        <v>0</v>
      </c>
      <c r="R163" s="5">
        <v>0</v>
      </c>
      <c r="S163" s="6">
        <v>0</v>
      </c>
      <c r="T163" s="5">
        <v>0</v>
      </c>
      <c r="U163">
        <f>VLOOKUP(C163,classOrder,2,FALSE)</f>
        <v>8</v>
      </c>
      <c r="V163" s="7">
        <f>F163+H163+J163</f>
        <v>5</v>
      </c>
      <c r="W163" s="12">
        <f>L163*(firstCardNpBonus+VLOOKUP($W$1, cardNpValue, 2, FALSE)*(1+(N163/100))*(1+(Q163/100)))*G163</f>
        <v>3.4000000000000004</v>
      </c>
      <c r="X163" s="13">
        <f>L163*(firstCardNpBonus+VLOOKUP($X$1, cardNpValue, 2,FALSE)*(1+(O163/100))*(1+(Q163/100)))*I163</f>
        <v>11.22</v>
      </c>
      <c r="Y163" s="14">
        <f>L163*(firstCardNpBonus+VLOOKUP($Y$1, cardNpValue, 2,FALSE)*(1+(P163/100))*(1+(Q163/100)))*K163</f>
        <v>0.68</v>
      </c>
      <c r="Z163" s="15">
        <f>F163*W163+H163*X163+J163*Y163+S163</f>
        <v>16.66</v>
      </c>
      <c r="AA163" s="8">
        <f>Z163/maxTotalNpGain</f>
        <v>0.26451972159877696</v>
      </c>
      <c r="AB163" s="12">
        <f>((M163/100)+firstCardStarBonus+VLOOKUP($AB$1, cardStarValue, 2, FALSE)*(1+(N163/100))+(R163/100))*G163</f>
        <v>3.1</v>
      </c>
      <c r="AC163" s="13">
        <f>((M163/100)+firstCardStarBonus+VLOOKUP($AC$1, cardStarValue, 2,FALSE )*(1+(O163/100))+(R163/100))*I163</f>
        <v>0.75</v>
      </c>
      <c r="AD163" s="14">
        <f>((M163/100)+firstCardStarBonus+VLOOKUP($AD$1, cardStarValue, 2, FALSE)*(1+(P163/100))+(R163/100))*K163</f>
        <v>0.4415</v>
      </c>
      <c r="AE163" s="11">
        <f>AB163*F163+AC163*H163+AD163*J163+T163</f>
        <v>5.1745000000000001</v>
      </c>
      <c r="AF163" s="9">
        <f>AE163/maxTotalStarGen</f>
        <v>0.16137533135817872</v>
      </c>
      <c r="AG163" s="10">
        <f>(AA163+AF163)/2</f>
        <v>0.21294752647847784</v>
      </c>
      <c r="AH163" t="str">
        <f>CONCATENATE(D163,"|",B163,"|",C163,"|",E163,"|",ROUND(W163,2),"|",ROUND(X163,2),"|",ROUND(Y163,2),"|",ROUND(AB163,2),"|",ROUND(AC163,2),"|",ROUND(AD163,2),"|",ROUND(Z163,2),"|",ROUND(AE163,2),"|",ROUND(AA163*100,2),"%|",ROUND(AF163*100,2),"%|",ROUND(AG163*100,2),"%")</f>
        <v>Caligula|2|Berserker|QABBB|3.4|11.22|0.68|3.1|0.75|0.44|16.66|5.17|26.45%|16.14%|21.29%</v>
      </c>
    </row>
    <row r="164" spans="1:34" x14ac:dyDescent="0.25">
      <c r="A164">
        <v>53</v>
      </c>
      <c r="B164">
        <v>1</v>
      </c>
      <c r="C164" t="s">
        <v>185</v>
      </c>
      <c r="D164" t="s">
        <v>192</v>
      </c>
      <c r="E164" t="s">
        <v>50</v>
      </c>
      <c r="F164" s="3">
        <v>1</v>
      </c>
      <c r="G164" s="3">
        <v>2</v>
      </c>
      <c r="H164" s="4">
        <v>1</v>
      </c>
      <c r="I164" s="4">
        <v>3</v>
      </c>
      <c r="J164" s="2">
        <v>3</v>
      </c>
      <c r="K164" s="2">
        <v>1</v>
      </c>
      <c r="L164" s="6">
        <v>0.68</v>
      </c>
      <c r="M164" s="5">
        <v>4.9000000000000004</v>
      </c>
      <c r="N164" s="3">
        <v>0</v>
      </c>
      <c r="O164" s="4">
        <v>0</v>
      </c>
      <c r="P164" s="2">
        <f>8+30/5</f>
        <v>14</v>
      </c>
      <c r="Q164" s="6">
        <v>0</v>
      </c>
      <c r="R164" s="5">
        <v>0</v>
      </c>
      <c r="S164" s="6">
        <v>0</v>
      </c>
      <c r="T164" s="5">
        <v>0</v>
      </c>
      <c r="U164">
        <f>VLOOKUP(C164,classOrder,2,FALSE)</f>
        <v>8</v>
      </c>
      <c r="V164" s="7">
        <f>F164+H164+J164</f>
        <v>5</v>
      </c>
      <c r="W164" s="12">
        <f>L164*(firstCardNpBonus+VLOOKUP($W$1, cardNpValue, 2, FALSE)*(1+(N164/100))*(1+(Q164/100)))*G164</f>
        <v>3.4000000000000004</v>
      </c>
      <c r="X164" s="13">
        <f>L164*(firstCardNpBonus+VLOOKUP($X$1, cardNpValue, 2,FALSE)*(1+(O164/100))*(1+(Q164/100)))*I164</f>
        <v>11.22</v>
      </c>
      <c r="Y164" s="14">
        <f>L164*(firstCardNpBonus+VLOOKUP($Y$1, cardNpValue, 2,FALSE)*(1+(P164/100))*(1+(Q164/100)))*K164</f>
        <v>0.68</v>
      </c>
      <c r="Z164" s="15">
        <f>F164*W164+H164*X164+J164*Y164+S164</f>
        <v>16.66</v>
      </c>
      <c r="AA164" s="8">
        <f>Z164/maxTotalNpGain</f>
        <v>0.26451972159877696</v>
      </c>
      <c r="AB164" s="12">
        <f>((M164/100)+firstCardStarBonus+VLOOKUP($AB$1, cardStarValue, 2, FALSE)*(1+(N164/100))+(R164/100))*G164</f>
        <v>3.0979999999999999</v>
      </c>
      <c r="AC164" s="13">
        <f>((M164/100)+firstCardStarBonus+VLOOKUP($AC$1, cardStarValue, 2,FALSE )*(1+(O164/100))+(R164/100))*I164</f>
        <v>0.747</v>
      </c>
      <c r="AD164" s="14">
        <f>((M164/100)+firstCardStarBonus+VLOOKUP($AD$1, cardStarValue, 2, FALSE)*(1+(P164/100))+(R164/100))*K164</f>
        <v>0.42000000000000004</v>
      </c>
      <c r="AE164" s="11">
        <f>AB164*F164+AC164*H164+AD164*J164+T164</f>
        <v>5.1050000000000004</v>
      </c>
      <c r="AF164" s="9">
        <f>AE164/maxTotalStarGen</f>
        <v>0.15920785903633247</v>
      </c>
      <c r="AG164" s="10">
        <f>(AA164+AF164)/2</f>
        <v>0.2118637903175547</v>
      </c>
      <c r="AH164" t="str">
        <f>CONCATENATE(D164,"|",B164,"|",C164,"|",E164,"|",ROUND(W164,2),"|",ROUND(X164,2),"|",ROUND(Y164,2),"|",ROUND(AB164,2),"|",ROUND(AC164,2),"|",ROUND(AD164,2),"|",ROUND(Z164,2),"|",ROUND(AE164,2),"|",ROUND(AA164*100,2),"%|",ROUND(AF164*100,2),"%|",ROUND(AG164*100,2),"%")</f>
        <v>Asterios|1|Berserker|QABBB|3.4|11.22|0.68|3.1|0.75|0.42|16.66|5.11|26.45%|15.92%|21.19%</v>
      </c>
    </row>
    <row r="165" spans="1:34" x14ac:dyDescent="0.25">
      <c r="A165">
        <v>48</v>
      </c>
      <c r="B165">
        <v>4</v>
      </c>
      <c r="C165" t="s">
        <v>185</v>
      </c>
      <c r="D165" t="s">
        <v>187</v>
      </c>
      <c r="E165" t="s">
        <v>50</v>
      </c>
      <c r="F165" s="3">
        <v>1</v>
      </c>
      <c r="G165" s="3">
        <v>2</v>
      </c>
      <c r="H165" s="4">
        <v>1</v>
      </c>
      <c r="I165" s="4">
        <v>2</v>
      </c>
      <c r="J165" s="2">
        <v>3</v>
      </c>
      <c r="K165" s="2">
        <v>1</v>
      </c>
      <c r="L165" s="6">
        <v>0.5</v>
      </c>
      <c r="M165" s="5">
        <v>5</v>
      </c>
      <c r="N165" s="3">
        <v>0</v>
      </c>
      <c r="O165" s="4">
        <v>0</v>
      </c>
      <c r="P165" s="2">
        <v>6</v>
      </c>
      <c r="Q165" s="6">
        <f>100/5</f>
        <v>20</v>
      </c>
      <c r="R165" s="5">
        <f>30*3/5</f>
        <v>18</v>
      </c>
      <c r="S165" s="6">
        <v>0</v>
      </c>
      <c r="T165" s="5">
        <v>0</v>
      </c>
      <c r="U165">
        <f>VLOOKUP(C165,classOrder,2,FALSE)</f>
        <v>8</v>
      </c>
      <c r="V165" s="7">
        <f>F165+H165+J165</f>
        <v>5</v>
      </c>
      <c r="W165" s="12">
        <f>L165*(firstCardNpBonus+VLOOKUP($W$1, cardNpValue, 2, FALSE)*(1+(N165/100))*(1+(Q165/100)))*G165</f>
        <v>2.8</v>
      </c>
      <c r="X165" s="13">
        <f>L165*(firstCardNpBonus+VLOOKUP($X$1, cardNpValue, 2,FALSE)*(1+(O165/100))*(1+(Q165/100)))*I165</f>
        <v>6.3999999999999995</v>
      </c>
      <c r="Y165" s="14">
        <f>L165*(firstCardNpBonus+VLOOKUP($Y$1, cardNpValue, 2,FALSE)*(1+(P165/100))*(1+(Q165/100)))*K165</f>
        <v>0.5</v>
      </c>
      <c r="Z165" s="15">
        <f>F165*W165+H165*X165+J165*Y165+S165</f>
        <v>10.7</v>
      </c>
      <c r="AA165" s="8">
        <f>Z165/maxTotalNpGain</f>
        <v>0.16988961711326012</v>
      </c>
      <c r="AB165" s="12">
        <f>((M165/100)+firstCardStarBonus+VLOOKUP($AB$1, cardStarValue, 2, FALSE)*(1+(N165/100))+(R165/100))*G165</f>
        <v>3.46</v>
      </c>
      <c r="AC165" s="13">
        <f>((M165/100)+firstCardStarBonus+VLOOKUP($AC$1, cardStarValue, 2,FALSE )*(1+(O165/100))+(R165/100))*I165</f>
        <v>0.86</v>
      </c>
      <c r="AD165" s="14">
        <f>((M165/100)+firstCardStarBonus+VLOOKUP($AD$1, cardStarValue, 2, FALSE)*(1+(P165/100))+(R165/100))*K165</f>
        <v>0.58899999999999997</v>
      </c>
      <c r="AE165" s="11">
        <f>AB165*F165+AC165*H165+AD165*J165+T165</f>
        <v>6.0869999999999997</v>
      </c>
      <c r="AF165" s="9">
        <f>AE165/maxTotalStarGen</f>
        <v>0.18983315141119603</v>
      </c>
      <c r="AG165" s="10">
        <f>(AA165+AF165)/2</f>
        <v>0.17986138426222809</v>
      </c>
      <c r="AH165" t="str">
        <f>CONCATENATE(D165,"|",B165,"|",C165,"|",E165,"|",ROUND(W165,2),"|",ROUND(X165,2),"|",ROUND(Y165,2),"|",ROUND(AB165,2),"|",ROUND(AC165,2),"|",ROUND(AD165,2),"|",ROUND(Z165,2),"|",ROUND(AE165,2),"|",ROUND(AA165*100,2),"%|",ROUND(AF165*100,2),"%|",ROUND(AG165*100,2),"%")</f>
        <v>Lancelot|4|Berserker|QABBB|2.8|6.4|0.5|3.46|0.86|0.59|10.7|6.09|16.99%|18.98%|17.99%</v>
      </c>
    </row>
    <row r="166" spans="1:34" x14ac:dyDescent="0.25">
      <c r="V166" s="7">
        <f>F166+H166+J166</f>
        <v>0</v>
      </c>
      <c r="W166" s="12">
        <f>L166*(firstCardNpBonus+VLOOKUP($W$1, cardNpValue, 2, FALSE)*(1+(N166/100))*(1+(Q166/100)))*G166</f>
        <v>0</v>
      </c>
      <c r="X166" s="13">
        <f>L166*(firstCardNpBonus+VLOOKUP($X$1, cardNpValue, 2,FALSE)*(1+(O166/100))*(1+(Q166/100)))*I166</f>
        <v>0</v>
      </c>
      <c r="Y166" s="14">
        <f>L166*(firstCardNpBonus+VLOOKUP($Y$1, cardNpValue, 2,FALSE)*(1+(P166/100))*(1+(Q166/100)))*K166</f>
        <v>0</v>
      </c>
      <c r="Z166" s="15">
        <f>F166*W166+H166*X166+J166*Y166+S166</f>
        <v>0</v>
      </c>
      <c r="AA166" s="8">
        <f>Z166/maxTotalNpGain</f>
        <v>0</v>
      </c>
      <c r="AB166" s="12">
        <f>((M166/100)+firstCardStarBonus+VLOOKUP($AB$1, cardStarValue, 2, FALSE)*(1+(N166/100))+(R166/100))*G166</f>
        <v>0</v>
      </c>
      <c r="AC166" s="13">
        <f>((M166/100)+firstCardStarBonus+VLOOKUP($AC$1, cardStarValue, 2,FALSE )*(1+(O166/100))+(R166/100))*I166</f>
        <v>0</v>
      </c>
      <c r="AD166" s="14">
        <f>((M166/100)+firstCardStarBonus+VLOOKUP($AD$1, cardStarValue, 2, FALSE)*(1+(P166/100))+(R166/100))*K166</f>
        <v>0</v>
      </c>
      <c r="AE166" s="11">
        <f>AB166*F166+AC166*H166+AD166*J166+T166</f>
        <v>0</v>
      </c>
      <c r="AF166" s="9">
        <f>AE166/maxTotalStarGen</f>
        <v>0</v>
      </c>
      <c r="AG166" s="10">
        <f>(AA166+AF166)/2</f>
        <v>0</v>
      </c>
      <c r="AH166" t="str">
        <f>CONCATENATE(D166,"|",B166,"|",C166,"|",E166,"|",ROUND(W166,2),"|",ROUND(X166,2),"|",ROUND(Y166,2),"|",ROUND(AB166,2),"|",ROUND(AC166,2),"|",ROUND(AD166,2),"|",ROUND(Z166,2),"|",ROUND(AE166,2),"|",ROUND(AA166*100,2),"%|",ROUND(AF166*100,2),"%|",ROUND(AG166*100,2),"%")</f>
        <v>||||0|0|0|0|0|0|0|0|0%|0%|0%</v>
      </c>
    </row>
    <row r="167" spans="1:34" x14ac:dyDescent="0.25">
      <c r="V167" s="7">
        <f>F167+H167+J167</f>
        <v>0</v>
      </c>
      <c r="W167" s="12">
        <f>L167*(firstCardNpBonus+VLOOKUP($W$1, cardNpValue, 2, FALSE)*(1+(N167/100))*(1+(Q167/100)))*G167</f>
        <v>0</v>
      </c>
      <c r="X167" s="13">
        <f>L167*(firstCardNpBonus+VLOOKUP($X$1, cardNpValue, 2,FALSE)*(1+(O167/100))*(1+(Q167/100)))*I167</f>
        <v>0</v>
      </c>
      <c r="Y167" s="14">
        <f>L167*(firstCardNpBonus+VLOOKUP($Y$1, cardNpValue, 2,FALSE)*(1+(P167/100))*(1+(Q167/100)))*K167</f>
        <v>0</v>
      </c>
      <c r="Z167" s="15">
        <f>F167*W167+H167*X167+J167*Y167+S167</f>
        <v>0</v>
      </c>
      <c r="AA167" s="8">
        <f>Z167/maxTotalNpGain</f>
        <v>0</v>
      </c>
      <c r="AB167" s="12">
        <f>((M167/100)+firstCardStarBonus+VLOOKUP($AB$1, cardStarValue, 2, FALSE)*(1+(N167/100))+(R167/100))*G167</f>
        <v>0</v>
      </c>
      <c r="AC167" s="13">
        <f>((M167/100)+firstCardStarBonus+VLOOKUP($AC$1, cardStarValue, 2,FALSE )*(1+(O167/100))+(R167/100))*I167</f>
        <v>0</v>
      </c>
      <c r="AD167" s="14">
        <f>((M167/100)+firstCardStarBonus+VLOOKUP($AD$1, cardStarValue, 2, FALSE)*(1+(P167/100))+(R167/100))*K167</f>
        <v>0</v>
      </c>
      <c r="AE167" s="11">
        <f>AB167*F167+AC167*H167+AD167*J167+T167</f>
        <v>0</v>
      </c>
      <c r="AF167" s="9">
        <f>AE167/maxTotalStarGen</f>
        <v>0</v>
      </c>
      <c r="AG167" s="10">
        <f>(AA167+AF167)/2</f>
        <v>0</v>
      </c>
      <c r="AH167" t="str">
        <f>CONCATENATE(D167,"|",B167,"|",C167,"|",E167,"|",ROUND(W167,2),"|",ROUND(X167,2),"|",ROUND(Y167,2),"|",ROUND(AB167,2),"|",ROUND(AC167,2),"|",ROUND(AD167,2),"|",ROUND(Z167,2),"|",ROUND(AE167,2),"|",ROUND(AA167*100,2),"%|",ROUND(AF167*100,2),"%|",ROUND(AG167*100,2),"%")</f>
        <v>||||0|0|0|0|0|0|0|0|0%|0%|0%</v>
      </c>
    </row>
    <row r="168" spans="1:34" x14ac:dyDescent="0.25">
      <c r="V168" s="7">
        <f>F168+H168+J168</f>
        <v>0</v>
      </c>
      <c r="W168" s="12">
        <f>L168*(firstCardNpBonus+VLOOKUP($W$1, cardNpValue, 2, FALSE)*(1+(N168/100))*(1+(Q168/100)))*G168</f>
        <v>0</v>
      </c>
      <c r="X168" s="13">
        <f>L168*(firstCardNpBonus+VLOOKUP($X$1, cardNpValue, 2,FALSE)*(1+(O168/100))*(1+(Q168/100)))*I168</f>
        <v>0</v>
      </c>
      <c r="Y168" s="14">
        <f>L168*(firstCardNpBonus+VLOOKUP($Y$1, cardNpValue, 2,FALSE)*(1+(P168/100))*(1+(Q168/100)))*K168</f>
        <v>0</v>
      </c>
      <c r="Z168" s="15">
        <f>F168*W168+H168*X168+J168*Y168+S168</f>
        <v>0</v>
      </c>
      <c r="AA168" s="8">
        <f>Z168/maxTotalNpGain</f>
        <v>0</v>
      </c>
      <c r="AB168" s="12">
        <f>((M168/100)+firstCardStarBonus+VLOOKUP($AB$1, cardStarValue, 2, FALSE)*(1+(N168/100))+(R168/100))*G168</f>
        <v>0</v>
      </c>
      <c r="AC168" s="13">
        <f>((M168/100)+firstCardStarBonus+VLOOKUP($AC$1, cardStarValue, 2,FALSE )*(1+(O168/100))+(R168/100))*I168</f>
        <v>0</v>
      </c>
      <c r="AD168" s="14">
        <f>((M168/100)+firstCardStarBonus+VLOOKUP($AD$1, cardStarValue, 2, FALSE)*(1+(P168/100))+(R168/100))*K168</f>
        <v>0</v>
      </c>
      <c r="AE168" s="11">
        <f>AB168*F168+AC168*H168+AD168*J168+T168</f>
        <v>0</v>
      </c>
      <c r="AF168" s="9">
        <f>AE168/maxTotalStarGen</f>
        <v>0</v>
      </c>
      <c r="AG168" s="10">
        <f>(AA168+AF168)/2</f>
        <v>0</v>
      </c>
      <c r="AH168" t="str">
        <f>CONCATENATE(D168,"|",B168,"|",C168,"|",E168,"|",ROUND(W168,2),"|",ROUND(X168,2),"|",ROUND(Y168,2),"|",ROUND(AB168,2),"|",ROUND(AC168,2),"|",ROUND(AD168,2),"|",ROUND(Z168,2),"|",ROUND(AE168,2),"|",ROUND(AA168*100,2),"%|",ROUND(AF168*100,2),"%|",ROUND(AG168*100,2),"%")</f>
        <v>||||0|0|0|0|0|0|0|0|0%|0%|0%</v>
      </c>
    </row>
    <row r="169" spans="1:34" x14ac:dyDescent="0.25">
      <c r="V169" s="7">
        <f>F169+H169+J169</f>
        <v>0</v>
      </c>
      <c r="W169" s="12">
        <f>L169*(firstCardNpBonus+VLOOKUP($W$1, cardNpValue, 2, FALSE)*(1+(N169/100))*(1+(Q169/100)))*G169</f>
        <v>0</v>
      </c>
      <c r="X169" s="13">
        <f>L169*(firstCardNpBonus+VLOOKUP($X$1, cardNpValue, 2,FALSE)*(1+(O169/100))*(1+(Q169/100)))*I169</f>
        <v>0</v>
      </c>
      <c r="Y169" s="14">
        <f>L169*(firstCardNpBonus+VLOOKUP($Y$1, cardNpValue, 2,FALSE)*(1+(P169/100))*(1+(Q169/100)))*K169</f>
        <v>0</v>
      </c>
      <c r="Z169" s="15">
        <f>F169*W169+H169*X169+J169*Y169+S169</f>
        <v>0</v>
      </c>
      <c r="AA169" s="8">
        <f>Z169/maxTotalNpGain</f>
        <v>0</v>
      </c>
      <c r="AB169" s="12">
        <f>((M169/100)+firstCardStarBonus+VLOOKUP($AB$1, cardStarValue, 2, FALSE)*(1+(N169/100))+(R169/100))*G169</f>
        <v>0</v>
      </c>
      <c r="AC169" s="13">
        <f>((M169/100)+firstCardStarBonus+VLOOKUP($AC$1, cardStarValue, 2,FALSE )*(1+(O169/100))+(R169/100))*I169</f>
        <v>0</v>
      </c>
      <c r="AD169" s="14">
        <f>((M169/100)+firstCardStarBonus+VLOOKUP($AD$1, cardStarValue, 2, FALSE)*(1+(P169/100))+(R169/100))*K169</f>
        <v>0</v>
      </c>
      <c r="AE169" s="11">
        <f>AB169*F169+AC169*H169+AD169*J169+T169</f>
        <v>0</v>
      </c>
      <c r="AF169" s="9">
        <f>AE169/maxTotalStarGen</f>
        <v>0</v>
      </c>
      <c r="AG169" s="10">
        <f>(AA169+AF169)/2</f>
        <v>0</v>
      </c>
      <c r="AH169" t="str">
        <f>CONCATENATE(D169,"|",B169,"|",C169,"|",E169,"|",ROUND(W169,2),"|",ROUND(X169,2),"|",ROUND(Y169,2),"|",ROUND(AB169,2),"|",ROUND(AC169,2),"|",ROUND(AD169,2),"|",ROUND(Z169,2),"|",ROUND(AE169,2),"|",ROUND(AA169*100,2),"%|",ROUND(AF169*100,2),"%|",ROUND(AG169*100,2),"%")</f>
        <v>||||0|0|0|0|0|0|0|0|0%|0%|0%</v>
      </c>
    </row>
    <row r="170" spans="1:34" x14ac:dyDescent="0.25">
      <c r="V170" s="7">
        <f>F170+H170+J170</f>
        <v>0</v>
      </c>
      <c r="W170" s="12">
        <f>L170*(firstCardNpBonus+VLOOKUP($W$1, cardNpValue, 2, FALSE)*(1+(N170/100))*(1+(Q170/100)))*G170</f>
        <v>0</v>
      </c>
      <c r="X170" s="13">
        <f>L170*(firstCardNpBonus+VLOOKUP($X$1, cardNpValue, 2,FALSE)*(1+(O170/100))*(1+(Q170/100)))*I170</f>
        <v>0</v>
      </c>
      <c r="Y170" s="14">
        <f>L170*(firstCardNpBonus+VLOOKUP($Y$1, cardNpValue, 2,FALSE)*(1+(P170/100))*(1+(Q170/100)))*K170</f>
        <v>0</v>
      </c>
      <c r="Z170" s="15">
        <f>F170*W170+H170*X170+J170*Y170+S170</f>
        <v>0</v>
      </c>
      <c r="AA170" s="8">
        <f>Z170/maxTotalNpGain</f>
        <v>0</v>
      </c>
      <c r="AB170" s="12">
        <f>((M170/100)+firstCardStarBonus+VLOOKUP($AB$1, cardStarValue, 2, FALSE)*(1+(N170/100))+(R170/100))*G170</f>
        <v>0</v>
      </c>
      <c r="AC170" s="13">
        <f>((M170/100)+firstCardStarBonus+VLOOKUP($AC$1, cardStarValue, 2,FALSE )*(1+(O170/100))+(R170/100))*I170</f>
        <v>0</v>
      </c>
      <c r="AD170" s="14">
        <f>((M170/100)+firstCardStarBonus+VLOOKUP($AD$1, cardStarValue, 2, FALSE)*(1+(P170/100))+(R170/100))*K170</f>
        <v>0</v>
      </c>
      <c r="AE170" s="11">
        <f>AB170*F170+AC170*H170+AD170*J170+T170</f>
        <v>0</v>
      </c>
      <c r="AF170" s="9">
        <f>AE170/maxTotalStarGen</f>
        <v>0</v>
      </c>
      <c r="AG170" s="10">
        <f>(AA170+AF170)/2</f>
        <v>0</v>
      </c>
      <c r="AH170" t="str">
        <f>CONCATENATE(D170,"|",B170,"|",C170,"|",E170,"|",ROUND(W170,2),"|",ROUND(X170,2),"|",ROUND(Y170,2),"|",ROUND(AB170,2),"|",ROUND(AC170,2),"|",ROUND(AD170,2),"|",ROUND(Z170,2),"|",ROUND(AE170,2),"|",ROUND(AA170*100,2),"%|",ROUND(AF170*100,2),"%|",ROUND(AG170*100,2),"%")</f>
        <v>||||0|0|0|0|0|0|0|0|0%|0%|0%</v>
      </c>
    </row>
    <row r="171" spans="1:34" x14ac:dyDescent="0.25">
      <c r="V171" s="7">
        <f>F171+H171+J171</f>
        <v>0</v>
      </c>
      <c r="W171" s="12">
        <f>L171*(firstCardNpBonus+VLOOKUP($W$1, cardNpValue, 2, FALSE)*(1+(N171/100))*(1+(Q171/100)))*G171</f>
        <v>0</v>
      </c>
      <c r="X171" s="13">
        <f>L171*(firstCardNpBonus+VLOOKUP($X$1, cardNpValue, 2,FALSE)*(1+(O171/100))*(1+(Q171/100)))*I171</f>
        <v>0</v>
      </c>
      <c r="Y171" s="14">
        <f>L171*(firstCardNpBonus+VLOOKUP($Y$1, cardNpValue, 2,FALSE)*(1+(P171/100))*(1+(Q171/100)))*K171</f>
        <v>0</v>
      </c>
      <c r="Z171" s="15">
        <f>F171*W171+H171*X171+J171*Y171+S171</f>
        <v>0</v>
      </c>
      <c r="AA171" s="8">
        <f>Z171/maxTotalNpGain</f>
        <v>0</v>
      </c>
      <c r="AB171" s="12">
        <f>((M171/100)+firstCardStarBonus+VLOOKUP($AB$1, cardStarValue, 2, FALSE)*(1+(N171/100))+(R171/100))*G171</f>
        <v>0</v>
      </c>
      <c r="AC171" s="13">
        <f>((M171/100)+firstCardStarBonus+VLOOKUP($AC$1, cardStarValue, 2,FALSE )*(1+(O171/100))+(R171/100))*I171</f>
        <v>0</v>
      </c>
      <c r="AD171" s="14">
        <f>((M171/100)+firstCardStarBonus+VLOOKUP($AD$1, cardStarValue, 2, FALSE)*(1+(P171/100))+(R171/100))*K171</f>
        <v>0</v>
      </c>
      <c r="AE171" s="11">
        <f>AB171*F171+AC171*H171+AD171*J171+T171</f>
        <v>0</v>
      </c>
      <c r="AF171" s="9">
        <f>AE171/maxTotalStarGen</f>
        <v>0</v>
      </c>
      <c r="AG171" s="10">
        <f>(AA171+AF171)/2</f>
        <v>0</v>
      </c>
      <c r="AH171" t="str">
        <f>CONCATENATE(D171,"|",B171,"|",C171,"|",E171,"|",ROUND(W171,2),"|",ROUND(X171,2),"|",ROUND(Y171,2),"|",ROUND(AB171,2),"|",ROUND(AC171,2),"|",ROUND(AD171,2),"|",ROUND(Z171,2),"|",ROUND(AE171,2),"|",ROUND(AA171*100,2),"%|",ROUND(AF171*100,2),"%|",ROUND(AG171*100,2),"%")</f>
        <v>||||0|0|0|0|0|0|0|0|0%|0%|0%</v>
      </c>
    </row>
    <row r="172" spans="1:34" x14ac:dyDescent="0.25">
      <c r="V172" s="7">
        <f>F172+H172+J172</f>
        <v>0</v>
      </c>
      <c r="W172" s="12">
        <f>L172*(firstCardNpBonus+VLOOKUP($W$1, cardNpValue, 2, FALSE)*(1+(N172/100))*(1+(Q172/100)))*G172</f>
        <v>0</v>
      </c>
      <c r="X172" s="13">
        <f>L172*(firstCardNpBonus+VLOOKUP($X$1, cardNpValue, 2,FALSE)*(1+(O172/100))*(1+(Q172/100)))*I172</f>
        <v>0</v>
      </c>
      <c r="Y172" s="14">
        <f>L172*(firstCardNpBonus+VLOOKUP($Y$1, cardNpValue, 2,FALSE)*(1+(P172/100))*(1+(Q172/100)))*K172</f>
        <v>0</v>
      </c>
      <c r="Z172" s="15">
        <f>F172*W172+H172*X172+J172*Y172+S172</f>
        <v>0</v>
      </c>
      <c r="AA172" s="8">
        <f>Z172/maxTotalNpGain</f>
        <v>0</v>
      </c>
      <c r="AB172" s="12">
        <f>((M172/100)+firstCardStarBonus+VLOOKUP($AB$1, cardStarValue, 2, FALSE)*(1+(N172/100))+(R172/100))*G172</f>
        <v>0</v>
      </c>
      <c r="AC172" s="13">
        <f>((M172/100)+firstCardStarBonus+VLOOKUP($AC$1, cardStarValue, 2,FALSE )*(1+(O172/100))+(R172/100))*I172</f>
        <v>0</v>
      </c>
      <c r="AD172" s="14">
        <f>((M172/100)+firstCardStarBonus+VLOOKUP($AD$1, cardStarValue, 2, FALSE)*(1+(P172/100))+(R172/100))*K172</f>
        <v>0</v>
      </c>
      <c r="AE172" s="11">
        <f>AB172*F172+AC172*H172+AD172*J172+T172</f>
        <v>0</v>
      </c>
      <c r="AF172" s="9">
        <f>AE172/maxTotalStarGen</f>
        <v>0</v>
      </c>
      <c r="AG172" s="10">
        <f>(AA172+AF172)/2</f>
        <v>0</v>
      </c>
      <c r="AH172" t="str">
        <f>CONCATENATE(D172,"|",B172,"|",C172,"|",E172,"|",ROUND(W172,2),"|",ROUND(X172,2),"|",ROUND(Y172,2),"|",ROUND(AB172,2),"|",ROUND(AC172,2),"|",ROUND(AD172,2),"|",ROUND(Z172,2),"|",ROUND(AE172,2),"|",ROUND(AA172*100,2),"%|",ROUND(AF172*100,2),"%|",ROUND(AG172*100,2),"%")</f>
        <v>||||0|0|0|0|0|0|0|0|0%|0%|0%</v>
      </c>
    </row>
    <row r="173" spans="1:34" x14ac:dyDescent="0.25">
      <c r="V173" s="7">
        <f>F173+H173+J173</f>
        <v>0</v>
      </c>
      <c r="W173" s="12">
        <f>L173*(firstCardNpBonus+VLOOKUP($W$1, cardNpValue, 2, FALSE)*(1+(N173/100))*(1+(Q173/100)))*G173</f>
        <v>0</v>
      </c>
      <c r="X173" s="13">
        <f>L173*(firstCardNpBonus+VLOOKUP($X$1, cardNpValue, 2,FALSE)*(1+(O173/100))*(1+(Q173/100)))*I173</f>
        <v>0</v>
      </c>
      <c r="Y173" s="14">
        <f>L173*(firstCardNpBonus+VLOOKUP($Y$1, cardNpValue, 2,FALSE)*(1+(P173/100))*(1+(Q173/100)))*K173</f>
        <v>0</v>
      </c>
      <c r="Z173" s="15">
        <f>F173*W173+H173*X173+J173*Y173+S173</f>
        <v>0</v>
      </c>
      <c r="AA173" s="8">
        <f>Z173/maxTotalNpGain</f>
        <v>0</v>
      </c>
      <c r="AB173" s="12">
        <f>((M173/100)+firstCardStarBonus+VLOOKUP($AB$1, cardStarValue, 2, FALSE)*(1+(N173/100))+(R173/100))*G173</f>
        <v>0</v>
      </c>
      <c r="AC173" s="13">
        <f>((M173/100)+firstCardStarBonus+VLOOKUP($AC$1, cardStarValue, 2,FALSE )*(1+(O173/100))+(R173/100))*I173</f>
        <v>0</v>
      </c>
      <c r="AD173" s="14">
        <f>((M173/100)+firstCardStarBonus+VLOOKUP($AD$1, cardStarValue, 2, FALSE)*(1+(P173/100))+(R173/100))*K173</f>
        <v>0</v>
      </c>
      <c r="AE173" s="11">
        <f>AB173*F173+AC173*H173+AD173*J173+T173</f>
        <v>0</v>
      </c>
      <c r="AF173" s="9">
        <f>AE173/maxTotalStarGen</f>
        <v>0</v>
      </c>
      <c r="AG173" s="10">
        <f>(AA173+AF173)/2</f>
        <v>0</v>
      </c>
      <c r="AH173" t="str">
        <f>CONCATENATE(D173,"|",B173,"|",C173,"|",E173,"|",ROUND(W173,2),"|",ROUND(X173,2),"|",ROUND(Y173,2),"|",ROUND(AB173,2),"|",ROUND(AC173,2),"|",ROUND(AD173,2),"|",ROUND(Z173,2),"|",ROUND(AE173,2),"|",ROUND(AA173*100,2),"%|",ROUND(AF173*100,2),"%|",ROUND(AG173*100,2),"%")</f>
        <v>||||0|0|0|0|0|0|0|0|0%|0%|0%</v>
      </c>
    </row>
    <row r="174" spans="1:34" x14ac:dyDescent="0.25">
      <c r="V174" s="7">
        <f>F174+H174+J174</f>
        <v>0</v>
      </c>
      <c r="W174" s="12">
        <f>L174*(firstCardNpBonus+VLOOKUP($W$1, cardNpValue, 2, FALSE)*(1+(N174/100))*(1+(Q174/100)))*G174</f>
        <v>0</v>
      </c>
      <c r="X174" s="13">
        <f>L174*(firstCardNpBonus+VLOOKUP($X$1, cardNpValue, 2,FALSE)*(1+(O174/100))*(1+(Q174/100)))*I174</f>
        <v>0</v>
      </c>
      <c r="Y174" s="14">
        <f>L174*(firstCardNpBonus+VLOOKUP($Y$1, cardNpValue, 2,FALSE)*(1+(P174/100))*(1+(Q174/100)))*K174</f>
        <v>0</v>
      </c>
      <c r="Z174" s="15">
        <f>F174*W174+H174*X174+J174*Y174+S174</f>
        <v>0</v>
      </c>
      <c r="AA174" s="8">
        <f>Z174/maxTotalNpGain</f>
        <v>0</v>
      </c>
      <c r="AB174" s="12">
        <f>((M174/100)+firstCardStarBonus+VLOOKUP($AB$1, cardStarValue, 2, FALSE)*(1+(N174/100))+(R174/100))*G174</f>
        <v>0</v>
      </c>
      <c r="AC174" s="13">
        <f>((M174/100)+firstCardStarBonus+VLOOKUP($AC$1, cardStarValue, 2,FALSE )*(1+(O174/100))+(R174/100))*I174</f>
        <v>0</v>
      </c>
      <c r="AD174" s="14">
        <f>((M174/100)+firstCardStarBonus+VLOOKUP($AD$1, cardStarValue, 2, FALSE)*(1+(P174/100))+(R174/100))*K174</f>
        <v>0</v>
      </c>
      <c r="AE174" s="11">
        <f>AB174*F174+AC174*H174+AD174*J174+T174</f>
        <v>0</v>
      </c>
      <c r="AF174" s="9">
        <f>AE174/maxTotalStarGen</f>
        <v>0</v>
      </c>
      <c r="AG174" s="10">
        <f>(AA174+AF174)/2</f>
        <v>0</v>
      </c>
      <c r="AH174" t="str">
        <f>CONCATENATE(D174,"|",B174,"|",C174,"|",E174,"|",ROUND(W174,2),"|",ROUND(X174,2),"|",ROUND(Y174,2),"|",ROUND(AB174,2),"|",ROUND(AC174,2),"|",ROUND(AD174,2),"|",ROUND(Z174,2),"|",ROUND(AE174,2),"|",ROUND(AA174*100,2),"%|",ROUND(AF174*100,2),"%|",ROUND(AG174*100,2),"%")</f>
        <v>||||0|0|0|0|0|0|0|0|0%|0%|0%</v>
      </c>
    </row>
    <row r="175" spans="1:34" x14ac:dyDescent="0.25">
      <c r="V175" s="7">
        <f>F175+H175+J175</f>
        <v>0</v>
      </c>
      <c r="W175" s="12">
        <f>L175*(firstCardNpBonus+VLOOKUP($W$1, cardNpValue, 2, FALSE)*(1+(N175/100))*(1+(Q175/100)))*G175</f>
        <v>0</v>
      </c>
      <c r="X175" s="13">
        <f>L175*(firstCardNpBonus+VLOOKUP($X$1, cardNpValue, 2,FALSE)*(1+(O175/100))*(1+(Q175/100)))*I175</f>
        <v>0</v>
      </c>
      <c r="Y175" s="14">
        <f>L175*(firstCardNpBonus+VLOOKUP($Y$1, cardNpValue, 2,FALSE)*(1+(P175/100))*(1+(Q175/100)))*K175</f>
        <v>0</v>
      </c>
      <c r="Z175" s="15">
        <f>F175*W175+H175*X175+J175*Y175+S175</f>
        <v>0</v>
      </c>
      <c r="AA175" s="8">
        <f>Z175/maxTotalNpGain</f>
        <v>0</v>
      </c>
      <c r="AB175" s="12">
        <f>((M175/100)+firstCardStarBonus+VLOOKUP($AB$1, cardStarValue, 2, FALSE)*(1+(N175/100))+(R175/100))*G175</f>
        <v>0</v>
      </c>
      <c r="AC175" s="13">
        <f>((M175/100)+firstCardStarBonus+VLOOKUP($AC$1, cardStarValue, 2,FALSE )*(1+(O175/100))+(R175/100))*I175</f>
        <v>0</v>
      </c>
      <c r="AD175" s="14">
        <f>((M175/100)+firstCardStarBonus+VLOOKUP($AD$1, cardStarValue, 2, FALSE)*(1+(P175/100))+(R175/100))*K175</f>
        <v>0</v>
      </c>
      <c r="AE175" s="11">
        <f>AB175*F175+AC175*H175+AD175*J175+T175</f>
        <v>0</v>
      </c>
      <c r="AF175" s="9">
        <f>AE175/maxTotalStarGen</f>
        <v>0</v>
      </c>
      <c r="AG175" s="10">
        <f>(AA175+AF175)/2</f>
        <v>0</v>
      </c>
      <c r="AH175" t="str">
        <f>CONCATENATE(D175,"|",B175,"|",C175,"|",E175,"|",ROUND(W175,2),"|",ROUND(X175,2),"|",ROUND(Y175,2),"|",ROUND(AB175,2),"|",ROUND(AC175,2),"|",ROUND(AD175,2),"|",ROUND(Z175,2),"|",ROUND(AE175,2),"|",ROUND(AA175*100,2),"%|",ROUND(AF175*100,2),"%|",ROUND(AG175*100,2),"%")</f>
        <v>||||0|0|0|0|0|0|0|0|0%|0%|0%</v>
      </c>
    </row>
    <row r="176" spans="1:34" x14ac:dyDescent="0.25">
      <c r="V176" s="7">
        <f>F176+H176+J176</f>
        <v>0</v>
      </c>
      <c r="W176" s="12">
        <f>L176*(firstCardNpBonus+VLOOKUP($W$1, cardNpValue, 2, FALSE)*(1+(N176/100))*(1+(Q176/100)))*G176</f>
        <v>0</v>
      </c>
      <c r="X176" s="13">
        <f>L176*(firstCardNpBonus+VLOOKUP($X$1, cardNpValue, 2,FALSE)*(1+(O176/100))*(1+(Q176/100)))*I176</f>
        <v>0</v>
      </c>
      <c r="Y176" s="14">
        <f>L176*(firstCardNpBonus+VLOOKUP($Y$1, cardNpValue, 2,FALSE)*(1+(P176/100))*(1+(Q176/100)))*K176</f>
        <v>0</v>
      </c>
      <c r="Z176" s="15">
        <f>F176*W176+H176*X176+J176*Y176+S176</f>
        <v>0</v>
      </c>
      <c r="AA176" s="8">
        <f>Z176/maxTotalNpGain</f>
        <v>0</v>
      </c>
      <c r="AB176" s="12">
        <f>((M176/100)+firstCardStarBonus+VLOOKUP($AB$1, cardStarValue, 2, FALSE)*(1+(N176/100))+(R176/100))*G176</f>
        <v>0</v>
      </c>
      <c r="AC176" s="13">
        <f>((M176/100)+firstCardStarBonus+VLOOKUP($AC$1, cardStarValue, 2,FALSE )*(1+(O176/100))+(R176/100))*I176</f>
        <v>0</v>
      </c>
      <c r="AD176" s="14">
        <f>((M176/100)+firstCardStarBonus+VLOOKUP($AD$1, cardStarValue, 2, FALSE)*(1+(P176/100))+(R176/100))*K176</f>
        <v>0</v>
      </c>
      <c r="AE176" s="11">
        <f>AB176*F176+AC176*H176+AD176*J176+T176</f>
        <v>0</v>
      </c>
      <c r="AF176" s="9">
        <f>AE176/maxTotalStarGen</f>
        <v>0</v>
      </c>
      <c r="AG176" s="10">
        <f>(AA176+AF176)/2</f>
        <v>0</v>
      </c>
      <c r="AH176" t="str">
        <f>CONCATENATE(D176,"|",B176,"|",C176,"|",E176,"|",ROUND(W176,2),"|",ROUND(X176,2),"|",ROUND(Y176,2),"|",ROUND(AB176,2),"|",ROUND(AC176,2),"|",ROUND(AD176,2),"|",ROUND(Z176,2),"|",ROUND(AE176,2),"|",ROUND(AA176*100,2),"%|",ROUND(AF176*100,2),"%|",ROUND(AG176*100,2),"%")</f>
        <v>||||0|0|0|0|0|0|0|0|0%|0%|0%</v>
      </c>
    </row>
    <row r="177" spans="22:34" x14ac:dyDescent="0.25">
      <c r="V177" s="7">
        <f>F177+H177+J177</f>
        <v>0</v>
      </c>
      <c r="W177" s="12">
        <f>L177*(firstCardNpBonus+VLOOKUP($W$1, cardNpValue, 2, FALSE)*(1+(N177/100))*(1+(Q177/100)))*G177</f>
        <v>0</v>
      </c>
      <c r="X177" s="13">
        <f>L177*(firstCardNpBonus+VLOOKUP($X$1, cardNpValue, 2,FALSE)*(1+(O177/100))*(1+(Q177/100)))*I177</f>
        <v>0</v>
      </c>
      <c r="Y177" s="14">
        <f>L177*(firstCardNpBonus+VLOOKUP($Y$1, cardNpValue, 2,FALSE)*(1+(P177/100))*(1+(Q177/100)))*K177</f>
        <v>0</v>
      </c>
      <c r="Z177" s="15">
        <f>F177*W177+H177*X177+J177*Y177+S177</f>
        <v>0</v>
      </c>
      <c r="AA177" s="8">
        <f>Z177/maxTotalNpGain</f>
        <v>0</v>
      </c>
      <c r="AB177" s="12">
        <f>((M177/100)+firstCardStarBonus+VLOOKUP($AB$1, cardStarValue, 2, FALSE)*(1+(N177/100))+(R177/100))*G177</f>
        <v>0</v>
      </c>
      <c r="AC177" s="13">
        <f>((M177/100)+firstCardStarBonus+VLOOKUP($AC$1, cardStarValue, 2,FALSE )*(1+(O177/100))+(R177/100))*I177</f>
        <v>0</v>
      </c>
      <c r="AD177" s="14">
        <f>((M177/100)+firstCardStarBonus+VLOOKUP($AD$1, cardStarValue, 2, FALSE)*(1+(P177/100))+(R177/100))*K177</f>
        <v>0</v>
      </c>
      <c r="AE177" s="11">
        <f>AB177*F177+AC177*H177+AD177*J177+T177</f>
        <v>0</v>
      </c>
      <c r="AF177" s="9">
        <f>AE177/maxTotalStarGen</f>
        <v>0</v>
      </c>
      <c r="AG177" s="10">
        <f>(AA177+AF177)/2</f>
        <v>0</v>
      </c>
      <c r="AH177" t="str">
        <f>CONCATENATE(D177,"|",B177,"|",C177,"|",E177,"|",ROUND(W177,2),"|",ROUND(X177,2),"|",ROUND(Y177,2),"|",ROUND(AB177,2),"|",ROUND(AC177,2),"|",ROUND(AD177,2),"|",ROUND(Z177,2),"|",ROUND(AE177,2),"|",ROUND(AA177*100,2),"%|",ROUND(AF177*100,2),"%|",ROUND(AG177*100,2),"%")</f>
        <v>||||0|0|0|0|0|0|0|0|0%|0%|0%</v>
      </c>
    </row>
    <row r="178" spans="22:34" x14ac:dyDescent="0.25">
      <c r="V178" s="7">
        <f>F178+H178+J178</f>
        <v>0</v>
      </c>
      <c r="W178" s="12">
        <f>L178*(firstCardNpBonus+VLOOKUP($W$1, cardNpValue, 2, FALSE)*(1+(N178/100))*(1+(Q178/100)))*G178</f>
        <v>0</v>
      </c>
      <c r="X178" s="13">
        <f>L178*(firstCardNpBonus+VLOOKUP($X$1, cardNpValue, 2,FALSE)*(1+(O178/100))*(1+(Q178/100)))*I178</f>
        <v>0</v>
      </c>
      <c r="Y178" s="14">
        <f>L178*(firstCardNpBonus+VLOOKUP($Y$1, cardNpValue, 2,FALSE)*(1+(P178/100))*(1+(Q178/100)))*K178</f>
        <v>0</v>
      </c>
      <c r="Z178" s="15">
        <f>F178*W178+H178*X178+J178*Y178+S178</f>
        <v>0</v>
      </c>
      <c r="AA178" s="8">
        <f>Z178/maxTotalNpGain</f>
        <v>0</v>
      </c>
      <c r="AB178" s="12">
        <f>((M178/100)+firstCardStarBonus+VLOOKUP($AB$1, cardStarValue, 2, FALSE)*(1+(N178/100))+(R178/100))*G178</f>
        <v>0</v>
      </c>
      <c r="AC178" s="13">
        <f>((M178/100)+firstCardStarBonus+VLOOKUP($AC$1, cardStarValue, 2,FALSE )*(1+(O178/100))+(R178/100))*I178</f>
        <v>0</v>
      </c>
      <c r="AD178" s="14">
        <f>((M178/100)+firstCardStarBonus+VLOOKUP($AD$1, cardStarValue, 2, FALSE)*(1+(P178/100))+(R178/100))*K178</f>
        <v>0</v>
      </c>
      <c r="AE178" s="11">
        <f>AB178*F178+AC178*H178+AD178*J178+T178</f>
        <v>0</v>
      </c>
      <c r="AF178" s="9">
        <f>AE178/maxTotalStarGen</f>
        <v>0</v>
      </c>
      <c r="AG178" s="10">
        <f>(AA178+AF178)/2</f>
        <v>0</v>
      </c>
      <c r="AH178" t="str">
        <f>CONCATENATE(D178,"|",B178,"|",C178,"|",E178,"|",ROUND(W178,2),"|",ROUND(X178,2),"|",ROUND(Y178,2),"|",ROUND(AB178,2),"|",ROUND(AC178,2),"|",ROUND(AD178,2),"|",ROUND(Z178,2),"|",ROUND(AE178,2),"|",ROUND(AA178*100,2),"%|",ROUND(AF178*100,2),"%|",ROUND(AG178*100,2),"%")</f>
        <v>||||0|0|0|0|0|0|0|0|0%|0%|0%</v>
      </c>
    </row>
    <row r="179" spans="22:34" x14ac:dyDescent="0.25">
      <c r="V179" s="7">
        <f>F179+H179+J179</f>
        <v>0</v>
      </c>
      <c r="W179" s="12">
        <f>L179*(firstCardNpBonus+VLOOKUP($W$1, cardNpValue, 2, FALSE)*(1+(N179/100))*(1+(Q179/100)))*G179</f>
        <v>0</v>
      </c>
      <c r="X179" s="13">
        <f>L179*(firstCardNpBonus+VLOOKUP($X$1, cardNpValue, 2,FALSE)*(1+(O179/100))*(1+(Q179/100)))*I179</f>
        <v>0</v>
      </c>
      <c r="Y179" s="14">
        <f>L179*(firstCardNpBonus+VLOOKUP($Y$1, cardNpValue, 2,FALSE)*(1+(P179/100))*(1+(Q179/100)))*K179</f>
        <v>0</v>
      </c>
      <c r="Z179" s="15">
        <f>F179*W179+H179*X179+J179*Y179+S179</f>
        <v>0</v>
      </c>
      <c r="AA179" s="8">
        <f>Z179/maxTotalNpGain</f>
        <v>0</v>
      </c>
      <c r="AB179" s="12">
        <f>((M179/100)+firstCardStarBonus+VLOOKUP($AB$1, cardStarValue, 2, FALSE)*(1+(N179/100))+(R179/100))*G179</f>
        <v>0</v>
      </c>
      <c r="AC179" s="13">
        <f>((M179/100)+firstCardStarBonus+VLOOKUP($AC$1, cardStarValue, 2,FALSE )*(1+(O179/100))+(R179/100))*I179</f>
        <v>0</v>
      </c>
      <c r="AD179" s="14">
        <f>((M179/100)+firstCardStarBonus+VLOOKUP($AD$1, cardStarValue, 2, FALSE)*(1+(P179/100))+(R179/100))*K179</f>
        <v>0</v>
      </c>
      <c r="AE179" s="11">
        <f>AB179*F179+AC179*H179+AD179*J179+T179</f>
        <v>0</v>
      </c>
      <c r="AF179" s="9">
        <f>AE179/maxTotalStarGen</f>
        <v>0</v>
      </c>
      <c r="AG179" s="10">
        <f>(AA179+AF179)/2</f>
        <v>0</v>
      </c>
      <c r="AH179" t="str">
        <f>CONCATENATE(D179,"|",B179,"|",C179,"|",E179,"|",ROUND(W179,2),"|",ROUND(X179,2),"|",ROUND(Y179,2),"|",ROUND(AB179,2),"|",ROUND(AC179,2),"|",ROUND(AD179,2),"|",ROUND(Z179,2),"|",ROUND(AE179,2),"|",ROUND(AA179*100,2),"%|",ROUND(AF179*100,2),"%|",ROUND(AG179*100,2),"%")</f>
        <v>||||0|0|0|0|0|0|0|0|0%|0%|0%</v>
      </c>
    </row>
    <row r="180" spans="22:34" x14ac:dyDescent="0.25">
      <c r="V180" s="7">
        <f>F180+H180+J180</f>
        <v>0</v>
      </c>
      <c r="W180" s="12">
        <f>L180*(firstCardNpBonus+VLOOKUP($W$1, cardNpValue, 2, FALSE)*(1+(N180/100))*(1+(Q180/100)))*G180</f>
        <v>0</v>
      </c>
      <c r="X180" s="13">
        <f>L180*(firstCardNpBonus+VLOOKUP($X$1, cardNpValue, 2,FALSE)*(1+(O180/100))*(1+(Q180/100)))*I180</f>
        <v>0</v>
      </c>
      <c r="Y180" s="14">
        <f>L180*(firstCardNpBonus+VLOOKUP($Y$1, cardNpValue, 2,FALSE)*(1+(P180/100))*(1+(Q180/100)))*K180</f>
        <v>0</v>
      </c>
      <c r="Z180" s="15">
        <f>F180*W180+H180*X180+J180*Y180+S180</f>
        <v>0</v>
      </c>
      <c r="AA180" s="8">
        <f>Z180/maxTotalNpGain</f>
        <v>0</v>
      </c>
      <c r="AB180" s="12">
        <f>((M180/100)+firstCardStarBonus+VLOOKUP($AB$1, cardStarValue, 2, FALSE)*(1+(N180/100))+(R180/100))*G180</f>
        <v>0</v>
      </c>
      <c r="AC180" s="13">
        <f>((M180/100)+firstCardStarBonus+VLOOKUP($AC$1, cardStarValue, 2,FALSE )*(1+(O180/100))+(R180/100))*I180</f>
        <v>0</v>
      </c>
      <c r="AD180" s="14">
        <f>((M180/100)+firstCardStarBonus+VLOOKUP($AD$1, cardStarValue, 2, FALSE)*(1+(P180/100))+(R180/100))*K180</f>
        <v>0</v>
      </c>
      <c r="AE180" s="11">
        <f>AB180*F180+AC180*H180+AD180*J180+T180</f>
        <v>0</v>
      </c>
      <c r="AF180" s="9">
        <f>AE180/maxTotalStarGen</f>
        <v>0</v>
      </c>
      <c r="AG180" s="10">
        <f>(AA180+AF180)/2</f>
        <v>0</v>
      </c>
      <c r="AH180" t="str">
        <f>CONCATENATE(D180,"|",B180,"|",C180,"|",E180,"|",ROUND(W180,2),"|",ROUND(X180,2),"|",ROUND(Y180,2),"|",ROUND(AB180,2),"|",ROUND(AC180,2),"|",ROUND(AD180,2),"|",ROUND(Z180,2),"|",ROUND(AE180,2),"|",ROUND(AA180*100,2),"%|",ROUND(AF180*100,2),"%|",ROUND(AG180*100,2),"%")</f>
        <v>||||0|0|0|0|0|0|0|0|0%|0%|0%</v>
      </c>
    </row>
    <row r="181" spans="22:34" x14ac:dyDescent="0.25">
      <c r="V181" s="7">
        <f>F181+H181+J181</f>
        <v>0</v>
      </c>
      <c r="W181" s="12">
        <f>L181*(firstCardNpBonus+VLOOKUP($W$1, cardNpValue, 2, FALSE)*(1+(N181/100))*(1+(Q181/100)))*G181</f>
        <v>0</v>
      </c>
      <c r="X181" s="13">
        <f>L181*(firstCardNpBonus+VLOOKUP($X$1, cardNpValue, 2,FALSE)*(1+(O181/100))*(1+(Q181/100)))*I181</f>
        <v>0</v>
      </c>
      <c r="Y181" s="14">
        <f>L181*(firstCardNpBonus+VLOOKUP($Y$1, cardNpValue, 2,FALSE)*(1+(P181/100))*(1+(Q181/100)))*K181</f>
        <v>0</v>
      </c>
      <c r="Z181" s="15">
        <f>F181*W181+H181*X181+J181*Y181+S181</f>
        <v>0</v>
      </c>
      <c r="AA181" s="8">
        <f>Z181/maxTotalNpGain</f>
        <v>0</v>
      </c>
      <c r="AB181" s="12">
        <f>((M181/100)+firstCardStarBonus+VLOOKUP($AB$1, cardStarValue, 2, FALSE)*(1+(N181/100))+(R181/100))*G181</f>
        <v>0</v>
      </c>
      <c r="AC181" s="13">
        <f>((M181/100)+firstCardStarBonus+VLOOKUP($AC$1, cardStarValue, 2,FALSE )*(1+(O181/100))+(R181/100))*I181</f>
        <v>0</v>
      </c>
      <c r="AD181" s="14">
        <f>((M181/100)+firstCardStarBonus+VLOOKUP($AD$1, cardStarValue, 2, FALSE)*(1+(P181/100))+(R181/100))*K181</f>
        <v>0</v>
      </c>
      <c r="AE181" s="11">
        <f>AB181*F181+AC181*H181+AD181*J181+T181</f>
        <v>0</v>
      </c>
      <c r="AF181" s="9">
        <f>AE181/maxTotalStarGen</f>
        <v>0</v>
      </c>
      <c r="AG181" s="10">
        <f>(AA181+AF181)/2</f>
        <v>0</v>
      </c>
      <c r="AH181" t="str">
        <f>CONCATENATE(D181,"|",B181,"|",C181,"|",E181,"|",ROUND(W181,2),"|",ROUND(X181,2),"|",ROUND(Y181,2),"|",ROUND(AB181,2),"|",ROUND(AC181,2),"|",ROUND(AD181,2),"|",ROUND(Z181,2),"|",ROUND(AE181,2),"|",ROUND(AA181*100,2),"%|",ROUND(AF181*100,2),"%|",ROUND(AG181*100,2),"%")</f>
        <v>||||0|0|0|0|0|0|0|0|0%|0%|0%</v>
      </c>
    </row>
    <row r="182" spans="22:34" x14ac:dyDescent="0.25">
      <c r="V182" s="7">
        <f>F182+H182+J182</f>
        <v>0</v>
      </c>
      <c r="W182" s="12">
        <f>L182*(firstCardNpBonus+VLOOKUP($W$1, cardNpValue, 2, FALSE)*(1+(N182/100))*(1+(Q182/100)))*G182</f>
        <v>0</v>
      </c>
      <c r="X182" s="13">
        <f>L182*(firstCardNpBonus+VLOOKUP($X$1, cardNpValue, 2,FALSE)*(1+(O182/100))*(1+(Q182/100)))*I182</f>
        <v>0</v>
      </c>
      <c r="Y182" s="14">
        <f>L182*(firstCardNpBonus+VLOOKUP($Y$1, cardNpValue, 2,FALSE)*(1+(P182/100))*(1+(Q182/100)))*K182</f>
        <v>0</v>
      </c>
      <c r="Z182" s="15">
        <f>F182*W182+H182*X182+J182*Y182+S182</f>
        <v>0</v>
      </c>
      <c r="AA182" s="8">
        <f>Z182/maxTotalNpGain</f>
        <v>0</v>
      </c>
      <c r="AB182" s="12">
        <f>((M182/100)+firstCardStarBonus+VLOOKUP($AB$1, cardStarValue, 2, FALSE)*(1+(N182/100))+(R182/100))*G182</f>
        <v>0</v>
      </c>
      <c r="AC182" s="13">
        <f>((M182/100)+firstCardStarBonus+VLOOKUP($AC$1, cardStarValue, 2,FALSE )*(1+(O182/100))+(R182/100))*I182</f>
        <v>0</v>
      </c>
      <c r="AD182" s="14">
        <f>((M182/100)+firstCardStarBonus+VLOOKUP($AD$1, cardStarValue, 2, FALSE)*(1+(P182/100))+(R182/100))*K182</f>
        <v>0</v>
      </c>
      <c r="AE182" s="11">
        <f>AB182*F182+AC182*H182+AD182*J182+T182</f>
        <v>0</v>
      </c>
      <c r="AF182" s="9">
        <f>AE182/maxTotalStarGen</f>
        <v>0</v>
      </c>
      <c r="AG182" s="10">
        <f>(AA182+AF182)/2</f>
        <v>0</v>
      </c>
      <c r="AH182" t="str">
        <f>CONCATENATE(D182,"|",B182,"|",C182,"|",E182,"|",ROUND(W182,2),"|",ROUND(X182,2),"|",ROUND(Y182,2),"|",ROUND(AB182,2),"|",ROUND(AC182,2),"|",ROUND(AD182,2),"|",ROUND(Z182,2),"|",ROUND(AE182,2),"|",ROUND(AA182*100,2),"%|",ROUND(AF182*100,2),"%|",ROUND(AG182*100,2),"%")</f>
        <v>||||0|0|0|0|0|0|0|0|0%|0%|0%</v>
      </c>
    </row>
    <row r="183" spans="22:34" x14ac:dyDescent="0.25">
      <c r="V183" s="7">
        <f>F183+H183+J183</f>
        <v>0</v>
      </c>
      <c r="W183" s="12">
        <f>L183*(firstCardNpBonus+VLOOKUP($W$1, cardNpValue, 2, FALSE)*(1+(N183/100))*(1+(Q183/100)))*G183</f>
        <v>0</v>
      </c>
      <c r="X183" s="13">
        <f>L183*(firstCardNpBonus+VLOOKUP($X$1, cardNpValue, 2,FALSE)*(1+(O183/100))*(1+(Q183/100)))*I183</f>
        <v>0</v>
      </c>
      <c r="Y183" s="14">
        <f>L183*(firstCardNpBonus+VLOOKUP($Y$1, cardNpValue, 2,FALSE)*(1+(P183/100))*(1+(Q183/100)))*K183</f>
        <v>0</v>
      </c>
      <c r="Z183" s="15">
        <f>F183*W183+H183*X183+J183*Y183+S183</f>
        <v>0</v>
      </c>
      <c r="AA183" s="8">
        <f>Z183/maxTotalNpGain</f>
        <v>0</v>
      </c>
      <c r="AB183" s="12">
        <f>((M183/100)+firstCardStarBonus+VLOOKUP($AB$1, cardStarValue, 2, FALSE)*(1+(N183/100))+(R183/100))*G183</f>
        <v>0</v>
      </c>
      <c r="AC183" s="13">
        <f>((M183/100)+firstCardStarBonus+VLOOKUP($AC$1, cardStarValue, 2,FALSE )*(1+(O183/100))+(R183/100))*I183</f>
        <v>0</v>
      </c>
      <c r="AD183" s="14">
        <f>((M183/100)+firstCardStarBonus+VLOOKUP($AD$1, cardStarValue, 2, FALSE)*(1+(P183/100))+(R183/100))*K183</f>
        <v>0</v>
      </c>
      <c r="AE183" s="11">
        <f>AB183*F183+AC183*H183+AD183*J183+T183</f>
        <v>0</v>
      </c>
      <c r="AF183" s="9">
        <f>AE183/maxTotalStarGen</f>
        <v>0</v>
      </c>
      <c r="AG183" s="10">
        <f>(AA183+AF183)/2</f>
        <v>0</v>
      </c>
      <c r="AH183" t="str">
        <f>CONCATENATE(D183,"|",B183,"|",C183,"|",E183,"|",ROUND(W183,2),"|",ROUND(X183,2),"|",ROUND(Y183,2),"|",ROUND(AB183,2),"|",ROUND(AC183,2),"|",ROUND(AD183,2),"|",ROUND(Z183,2),"|",ROUND(AE183,2),"|",ROUND(AA183*100,2),"%|",ROUND(AF183*100,2),"%|",ROUND(AG183*100,2),"%")</f>
        <v>||||0|0|0|0|0|0|0|0|0%|0%|0%</v>
      </c>
    </row>
    <row r="184" spans="22:34" x14ac:dyDescent="0.25">
      <c r="V184" s="7">
        <f>F184+H184+J184</f>
        <v>0</v>
      </c>
      <c r="W184" s="12">
        <f>L184*(firstCardNpBonus+VLOOKUP($W$1, cardNpValue, 2, FALSE)*(1+(N184/100))*(1+(Q184/100)))*G184</f>
        <v>0</v>
      </c>
      <c r="X184" s="13">
        <f>L184*(firstCardNpBonus+VLOOKUP($X$1, cardNpValue, 2,FALSE)*(1+(O184/100))*(1+(Q184/100)))*I184</f>
        <v>0</v>
      </c>
      <c r="Y184" s="14">
        <f>L184*(firstCardNpBonus+VLOOKUP($Y$1, cardNpValue, 2,FALSE)*(1+(P184/100))*(1+(Q184/100)))*K184</f>
        <v>0</v>
      </c>
      <c r="Z184" s="15">
        <f>F184*W184+H184*X184+J184*Y184+S184</f>
        <v>0</v>
      </c>
      <c r="AA184" s="8">
        <f>Z184/maxTotalNpGain</f>
        <v>0</v>
      </c>
      <c r="AB184" s="12">
        <f>((M184/100)+firstCardStarBonus+VLOOKUP($AB$1, cardStarValue, 2, FALSE)*(1+(N184/100))+(R184/100))*G184</f>
        <v>0</v>
      </c>
      <c r="AC184" s="13">
        <f>((M184/100)+firstCardStarBonus+VLOOKUP($AC$1, cardStarValue, 2,FALSE )*(1+(O184/100))+(R184/100))*I184</f>
        <v>0</v>
      </c>
      <c r="AD184" s="14">
        <f>((M184/100)+firstCardStarBonus+VLOOKUP($AD$1, cardStarValue, 2, FALSE)*(1+(P184/100))+(R184/100))*K184</f>
        <v>0</v>
      </c>
      <c r="AE184" s="11">
        <f>AB184*F184+AC184*H184+AD184*J184+T184</f>
        <v>0</v>
      </c>
      <c r="AF184" s="9">
        <f>AE184/maxTotalStarGen</f>
        <v>0</v>
      </c>
      <c r="AG184" s="10">
        <f>(AA184+AF184)/2</f>
        <v>0</v>
      </c>
      <c r="AH184" t="str">
        <f>CONCATENATE(D184,"|",B184,"|",C184,"|",E184,"|",ROUND(W184,2),"|",ROUND(X184,2),"|",ROUND(Y184,2),"|",ROUND(AB184,2),"|",ROUND(AC184,2),"|",ROUND(AD184,2),"|",ROUND(Z184,2),"|",ROUND(AE184,2),"|",ROUND(AA184*100,2),"%|",ROUND(AF184*100,2),"%|",ROUND(AG184*100,2),"%")</f>
        <v>||||0|0|0|0|0|0|0|0|0%|0%|0%</v>
      </c>
    </row>
    <row r="185" spans="22:34" x14ac:dyDescent="0.25">
      <c r="V185" s="7">
        <f>F185+H185+J185</f>
        <v>0</v>
      </c>
      <c r="W185" s="12">
        <f>L185*(firstCardNpBonus+VLOOKUP($W$1, cardNpValue, 2, FALSE)*(1+(N185/100))*(1+(Q185/100)))*G185</f>
        <v>0</v>
      </c>
      <c r="X185" s="13">
        <f>L185*(firstCardNpBonus+VLOOKUP($X$1, cardNpValue, 2,FALSE)*(1+(O185/100))*(1+(Q185/100)))*I185</f>
        <v>0</v>
      </c>
      <c r="Y185" s="14">
        <f>L185*(firstCardNpBonus+VLOOKUP($Y$1, cardNpValue, 2,FALSE)*(1+(P185/100))*(1+(Q185/100)))*K185</f>
        <v>0</v>
      </c>
      <c r="Z185" s="15">
        <f>F185*W185+H185*X185+J185*Y185+S185</f>
        <v>0</v>
      </c>
      <c r="AA185" s="8">
        <f>Z185/maxTotalNpGain</f>
        <v>0</v>
      </c>
      <c r="AB185" s="12">
        <f>((M185/100)+firstCardStarBonus+VLOOKUP($AB$1, cardStarValue, 2, FALSE)*(1+(N185/100))+(R185/100))*G185</f>
        <v>0</v>
      </c>
      <c r="AC185" s="13">
        <f>((M185/100)+firstCardStarBonus+VLOOKUP($AC$1, cardStarValue, 2,FALSE )*(1+(O185/100))+(R185/100))*I185</f>
        <v>0</v>
      </c>
      <c r="AD185" s="14">
        <f>((M185/100)+firstCardStarBonus+VLOOKUP($AD$1, cardStarValue, 2, FALSE)*(1+(P185/100))+(R185/100))*K185</f>
        <v>0</v>
      </c>
      <c r="AE185" s="11">
        <f>AB185*F185+AC185*H185+AD185*J185+T185</f>
        <v>0</v>
      </c>
      <c r="AF185" s="9">
        <f>AE185/maxTotalStarGen</f>
        <v>0</v>
      </c>
      <c r="AG185" s="10">
        <f>(AA185+AF185)/2</f>
        <v>0</v>
      </c>
      <c r="AH185" t="str">
        <f>CONCATENATE(D185,"|",B185,"|",C185,"|",E185,"|",ROUND(W185,2),"|",ROUND(X185,2),"|",ROUND(Y185,2),"|",ROUND(AB185,2),"|",ROUND(AC185,2),"|",ROUND(AD185,2),"|",ROUND(Z185,2),"|",ROUND(AE185,2),"|",ROUND(AA185*100,2),"%|",ROUND(AF185*100,2),"%|",ROUND(AG185*100,2),"%")</f>
        <v>||||0|0|0|0|0|0|0|0|0%|0%|0%</v>
      </c>
    </row>
    <row r="186" spans="22:34" x14ac:dyDescent="0.25">
      <c r="V186" s="7">
        <f>F186+H186+J186</f>
        <v>0</v>
      </c>
      <c r="W186" s="12">
        <f>L186*(firstCardNpBonus+VLOOKUP($W$1, cardNpValue, 2, FALSE)*(1+(N186/100))*(1+(Q186/100)))*G186</f>
        <v>0</v>
      </c>
      <c r="X186" s="13">
        <f>L186*(firstCardNpBonus+VLOOKUP($X$1, cardNpValue, 2,FALSE)*(1+(O186/100))*(1+(Q186/100)))*I186</f>
        <v>0</v>
      </c>
      <c r="Y186" s="14">
        <f>L186*(firstCardNpBonus+VLOOKUP($Y$1, cardNpValue, 2,FALSE)*(1+(P186/100))*(1+(Q186/100)))*K186</f>
        <v>0</v>
      </c>
      <c r="Z186" s="15">
        <f>F186*W186+H186*X186+J186*Y186+S186</f>
        <v>0</v>
      </c>
      <c r="AA186" s="8">
        <f>Z186/maxTotalNpGain</f>
        <v>0</v>
      </c>
      <c r="AB186" s="12">
        <f>((M186/100)+firstCardStarBonus+VLOOKUP($AB$1, cardStarValue, 2, FALSE)*(1+(N186/100))+(R186/100))*G186</f>
        <v>0</v>
      </c>
      <c r="AC186" s="13">
        <f>((M186/100)+firstCardStarBonus+VLOOKUP($AC$1, cardStarValue, 2,FALSE )*(1+(O186/100))+(R186/100))*I186</f>
        <v>0</v>
      </c>
      <c r="AD186" s="14">
        <f>((M186/100)+firstCardStarBonus+VLOOKUP($AD$1, cardStarValue, 2, FALSE)*(1+(P186/100))+(R186/100))*K186</f>
        <v>0</v>
      </c>
      <c r="AE186" s="11">
        <f>AB186*F186+AC186*H186+AD186*J186+T186</f>
        <v>0</v>
      </c>
      <c r="AF186" s="9">
        <f>AE186/maxTotalStarGen</f>
        <v>0</v>
      </c>
      <c r="AG186" s="10">
        <f>(AA186+AF186)/2</f>
        <v>0</v>
      </c>
      <c r="AH186" t="str">
        <f>CONCATENATE(D186,"|",B186,"|",C186,"|",E186,"|",ROUND(W186,2),"|",ROUND(X186,2),"|",ROUND(Y186,2),"|",ROUND(AB186,2),"|",ROUND(AC186,2),"|",ROUND(AD186,2),"|",ROUND(Z186,2),"|",ROUND(AE186,2),"|",ROUND(AA186*100,2),"%|",ROUND(AF186*100,2),"%|",ROUND(AG186*100,2),"%")</f>
        <v>||||0|0|0|0|0|0|0|0|0%|0%|0%</v>
      </c>
    </row>
    <row r="187" spans="22:34" x14ac:dyDescent="0.25">
      <c r="V187" s="7">
        <f>F187+H187+J187</f>
        <v>0</v>
      </c>
      <c r="W187" s="12">
        <f>L187*(firstCardNpBonus+VLOOKUP($W$1, cardNpValue, 2, FALSE)*(1+(N187/100))*(1+(Q187/100)))*G187</f>
        <v>0</v>
      </c>
      <c r="X187" s="13">
        <f>L187*(firstCardNpBonus+VLOOKUP($X$1, cardNpValue, 2,FALSE)*(1+(O187/100))*(1+(Q187/100)))*I187</f>
        <v>0</v>
      </c>
      <c r="Y187" s="14">
        <f>L187*(firstCardNpBonus+VLOOKUP($Y$1, cardNpValue, 2,FALSE)*(1+(P187/100))*(1+(Q187/100)))*K187</f>
        <v>0</v>
      </c>
      <c r="Z187" s="15">
        <f>F187*W187+H187*X187+J187*Y187+S187</f>
        <v>0</v>
      </c>
      <c r="AA187" s="8">
        <f>Z187/maxTotalNpGain</f>
        <v>0</v>
      </c>
      <c r="AB187" s="12">
        <f>((M187/100)+firstCardStarBonus+VLOOKUP($AB$1, cardStarValue, 2, FALSE)*(1+(N187/100))+(R187/100))*G187</f>
        <v>0</v>
      </c>
      <c r="AC187" s="13">
        <f>((M187/100)+firstCardStarBonus+VLOOKUP($AC$1, cardStarValue, 2,FALSE )*(1+(O187/100))+(R187/100))*I187</f>
        <v>0</v>
      </c>
      <c r="AD187" s="14">
        <f>((M187/100)+firstCardStarBonus+VLOOKUP($AD$1, cardStarValue, 2, FALSE)*(1+(P187/100))+(R187/100))*K187</f>
        <v>0</v>
      </c>
      <c r="AE187" s="11">
        <f>AB187*F187+AC187*H187+AD187*J187+T187</f>
        <v>0</v>
      </c>
      <c r="AF187" s="9">
        <f>AE187/maxTotalStarGen</f>
        <v>0</v>
      </c>
      <c r="AG187" s="10">
        <f>(AA187+AF187)/2</f>
        <v>0</v>
      </c>
      <c r="AH187" t="str">
        <f>CONCATENATE(D187,"|",B187,"|",C187,"|",E187,"|",ROUND(W187,2),"|",ROUND(X187,2),"|",ROUND(Y187,2),"|",ROUND(AB187,2),"|",ROUND(AC187,2),"|",ROUND(AD187,2),"|",ROUND(Z187,2),"|",ROUND(AE187,2),"|",ROUND(AA187*100,2),"%|",ROUND(AF187*100,2),"%|",ROUND(AG187*100,2),"%")</f>
        <v>||||0|0|0|0|0|0|0|0|0%|0%|0%</v>
      </c>
    </row>
    <row r="188" spans="22:34" x14ac:dyDescent="0.25">
      <c r="V188" s="7">
        <f>F188+H188+J188</f>
        <v>0</v>
      </c>
      <c r="W188" s="12">
        <f>L188*(firstCardNpBonus+VLOOKUP($W$1, cardNpValue, 2, FALSE)*(1+(N188/100))*(1+(Q188/100)))*G188</f>
        <v>0</v>
      </c>
      <c r="X188" s="13">
        <f>L188*(firstCardNpBonus+VLOOKUP($X$1, cardNpValue, 2,FALSE)*(1+(O188/100))*(1+(Q188/100)))*I188</f>
        <v>0</v>
      </c>
      <c r="Y188" s="14">
        <f>L188*(firstCardNpBonus+VLOOKUP($Y$1, cardNpValue, 2,FALSE)*(1+(P188/100))*(1+(Q188/100)))*K188</f>
        <v>0</v>
      </c>
      <c r="Z188" s="15">
        <f>F188*W188+H188*X188+J188*Y188+S188</f>
        <v>0</v>
      </c>
      <c r="AA188" s="8">
        <f>Z188/maxTotalNpGain</f>
        <v>0</v>
      </c>
      <c r="AB188" s="12">
        <f>((M188/100)+firstCardStarBonus+VLOOKUP($AB$1, cardStarValue, 2, FALSE)*(1+(N188/100))+(R188/100))*G188</f>
        <v>0</v>
      </c>
      <c r="AC188" s="13">
        <f>((M188/100)+firstCardStarBonus+VLOOKUP($AC$1, cardStarValue, 2,FALSE )*(1+(O188/100))+(R188/100))*I188</f>
        <v>0</v>
      </c>
      <c r="AD188" s="14">
        <f>((M188/100)+firstCardStarBonus+VLOOKUP($AD$1, cardStarValue, 2, FALSE)*(1+(P188/100))+(R188/100))*K188</f>
        <v>0</v>
      </c>
      <c r="AE188" s="11">
        <f>AB188*F188+AC188*H188+AD188*J188+T188</f>
        <v>0</v>
      </c>
      <c r="AF188" s="9">
        <f>AE188/maxTotalStarGen</f>
        <v>0</v>
      </c>
      <c r="AG188" s="10">
        <f>(AA188+AF188)/2</f>
        <v>0</v>
      </c>
      <c r="AH188" t="str">
        <f>CONCATENATE(D188,"|",B188,"|",C188,"|",E188,"|",ROUND(W188,2),"|",ROUND(X188,2),"|",ROUND(Y188,2),"|",ROUND(AB188,2),"|",ROUND(AC188,2),"|",ROUND(AD188,2),"|",ROUND(Z188,2),"|",ROUND(AE188,2),"|",ROUND(AA188*100,2),"%|",ROUND(AF188*100,2),"%|",ROUND(AG188*100,2),"%")</f>
        <v>||||0|0|0|0|0|0|0|0|0%|0%|0%</v>
      </c>
    </row>
    <row r="189" spans="22:34" x14ac:dyDescent="0.25">
      <c r="V189" s="7">
        <f>F189+H189+J189</f>
        <v>0</v>
      </c>
      <c r="W189" s="12">
        <f>L189*(firstCardNpBonus+VLOOKUP($W$1, cardNpValue, 2, FALSE)*(1+(N189/100))*(1+(Q189/100)))*G189</f>
        <v>0</v>
      </c>
      <c r="X189" s="13">
        <f>L189*(firstCardNpBonus+VLOOKUP($X$1, cardNpValue, 2,FALSE)*(1+(O189/100))*(1+(Q189/100)))*I189</f>
        <v>0</v>
      </c>
      <c r="Y189" s="14">
        <f>L189*(firstCardNpBonus+VLOOKUP($Y$1, cardNpValue, 2,FALSE)*(1+(P189/100))*(1+(Q189/100)))*K189</f>
        <v>0</v>
      </c>
      <c r="Z189" s="15">
        <f>F189*W189+H189*X189+J189*Y189+S189</f>
        <v>0</v>
      </c>
      <c r="AA189" s="8">
        <f>Z189/maxTotalNpGain</f>
        <v>0</v>
      </c>
      <c r="AB189" s="12">
        <f>((M189/100)+firstCardStarBonus+VLOOKUP($AB$1, cardStarValue, 2, FALSE)*(1+(N189/100))+(R189/100))*G189</f>
        <v>0</v>
      </c>
      <c r="AC189" s="13">
        <f>((M189/100)+firstCardStarBonus+VLOOKUP($AC$1, cardStarValue, 2,FALSE )*(1+(O189/100))+(R189/100))*I189</f>
        <v>0</v>
      </c>
      <c r="AD189" s="14">
        <f>((M189/100)+firstCardStarBonus+VLOOKUP($AD$1, cardStarValue, 2, FALSE)*(1+(P189/100))+(R189/100))*K189</f>
        <v>0</v>
      </c>
      <c r="AE189" s="11">
        <f>AB189*F189+AC189*H189+AD189*J189+T189</f>
        <v>0</v>
      </c>
      <c r="AF189" s="9">
        <f>AE189/maxTotalStarGen</f>
        <v>0</v>
      </c>
      <c r="AG189" s="10">
        <f>(AA189+AF189)/2</f>
        <v>0</v>
      </c>
      <c r="AH189" t="str">
        <f>CONCATENATE(D189,"|",B189,"|",C189,"|",E189,"|",ROUND(W189,2),"|",ROUND(X189,2),"|",ROUND(Y189,2),"|",ROUND(AB189,2),"|",ROUND(AC189,2),"|",ROUND(AD189,2),"|",ROUND(Z189,2),"|",ROUND(AE189,2),"|",ROUND(AA189*100,2),"%|",ROUND(AF189*100,2),"%|",ROUND(AG189*100,2),"%")</f>
        <v>||||0|0|0|0|0|0|0|0|0%|0%|0%</v>
      </c>
    </row>
    <row r="190" spans="22:34" x14ac:dyDescent="0.25">
      <c r="V190" s="7">
        <f>F190+H190+J190</f>
        <v>0</v>
      </c>
      <c r="W190" s="12">
        <f>L190*(firstCardNpBonus+VLOOKUP($W$1, cardNpValue, 2, FALSE)*(1+(N190/100))*(1+(Q190/100)))*G190</f>
        <v>0</v>
      </c>
      <c r="X190" s="13">
        <f>L190*(firstCardNpBonus+VLOOKUP($X$1, cardNpValue, 2,FALSE)*(1+(O190/100))*(1+(Q190/100)))*I190</f>
        <v>0</v>
      </c>
      <c r="Y190" s="14">
        <f>L190*(firstCardNpBonus+VLOOKUP($Y$1, cardNpValue, 2,FALSE)*(1+(P190/100))*(1+(Q190/100)))*K190</f>
        <v>0</v>
      </c>
      <c r="Z190" s="15">
        <f>F190*W190+H190*X190+J190*Y190+S190</f>
        <v>0</v>
      </c>
      <c r="AA190" s="8">
        <f>Z190/maxTotalNpGain</f>
        <v>0</v>
      </c>
      <c r="AB190" s="12">
        <f>((M190/100)+firstCardStarBonus+VLOOKUP($AB$1, cardStarValue, 2, FALSE)*(1+(N190/100))+(R190/100))*G190</f>
        <v>0</v>
      </c>
      <c r="AC190" s="13">
        <f>((M190/100)+firstCardStarBonus+VLOOKUP($AC$1, cardStarValue, 2,FALSE )*(1+(O190/100))+(R190/100))*I190</f>
        <v>0</v>
      </c>
      <c r="AD190" s="14">
        <f>((M190/100)+firstCardStarBonus+VLOOKUP($AD$1, cardStarValue, 2, FALSE)*(1+(P190/100))+(R190/100))*K190</f>
        <v>0</v>
      </c>
      <c r="AE190" s="11">
        <f>AB190*F190+AC190*H190+AD190*J190+T190</f>
        <v>0</v>
      </c>
      <c r="AF190" s="9">
        <f>AE190/maxTotalStarGen</f>
        <v>0</v>
      </c>
      <c r="AG190" s="10">
        <f>(AA190+AF190)/2</f>
        <v>0</v>
      </c>
      <c r="AH190" t="str">
        <f>CONCATENATE(D190,"|",B190,"|",C190,"|",E190,"|",ROUND(W190,2),"|",ROUND(X190,2),"|",ROUND(Y190,2),"|",ROUND(AB190,2),"|",ROUND(AC190,2),"|",ROUND(AD190,2),"|",ROUND(Z190,2),"|",ROUND(AE190,2),"|",ROUND(AA190*100,2),"%|",ROUND(AF190*100,2),"%|",ROUND(AG190*100,2),"%")</f>
        <v>||||0|0|0|0|0|0|0|0|0%|0%|0%</v>
      </c>
    </row>
    <row r="191" spans="22:34" x14ac:dyDescent="0.25">
      <c r="V191" s="7">
        <f>F191+H191+J191</f>
        <v>0</v>
      </c>
      <c r="W191" s="12">
        <f>L191*(firstCardNpBonus+VLOOKUP($W$1, cardNpValue, 2, FALSE)*(1+(N191/100))*(1+(Q191/100)))*G191</f>
        <v>0</v>
      </c>
      <c r="X191" s="13">
        <f>L191*(firstCardNpBonus+VLOOKUP($X$1, cardNpValue, 2,FALSE)*(1+(O191/100))*(1+(Q191/100)))*I191</f>
        <v>0</v>
      </c>
      <c r="Y191" s="14">
        <f>L191*(firstCardNpBonus+VLOOKUP($Y$1, cardNpValue, 2,FALSE)*(1+(P191/100))*(1+(Q191/100)))*K191</f>
        <v>0</v>
      </c>
      <c r="Z191" s="15">
        <f>F191*W191+H191*X191+J191*Y191+S191</f>
        <v>0</v>
      </c>
      <c r="AA191" s="8">
        <f>Z191/maxTotalNpGain</f>
        <v>0</v>
      </c>
      <c r="AB191" s="12">
        <f>((M191/100)+firstCardStarBonus+VLOOKUP($AB$1, cardStarValue, 2, FALSE)*(1+(N191/100))+(R191/100))*G191</f>
        <v>0</v>
      </c>
      <c r="AC191" s="13">
        <f>((M191/100)+firstCardStarBonus+VLOOKUP($AC$1, cardStarValue, 2,FALSE )*(1+(O191/100))+(R191/100))*I191</f>
        <v>0</v>
      </c>
      <c r="AD191" s="14">
        <f>((M191/100)+firstCardStarBonus+VLOOKUP($AD$1, cardStarValue, 2, FALSE)*(1+(P191/100))+(R191/100))*K191</f>
        <v>0</v>
      </c>
      <c r="AE191" s="11">
        <f>AB191*F191+AC191*H191+AD191*J191+T191</f>
        <v>0</v>
      </c>
      <c r="AF191" s="9">
        <f>AE191/maxTotalStarGen</f>
        <v>0</v>
      </c>
      <c r="AG191" s="10">
        <f>(AA191+AF191)/2</f>
        <v>0</v>
      </c>
      <c r="AH191" t="str">
        <f>CONCATENATE(D191,"|",B191,"|",C191,"|",E191,"|",ROUND(W191,2),"|",ROUND(X191,2),"|",ROUND(Y191,2),"|",ROUND(AB191,2),"|",ROUND(AC191,2),"|",ROUND(AD191,2),"|",ROUND(Z191,2),"|",ROUND(AE191,2),"|",ROUND(AA191*100,2),"%|",ROUND(AF191*100,2),"%|",ROUND(AG191*100,2),"%")</f>
        <v>||||0|0|0|0|0|0|0|0|0%|0%|0%</v>
      </c>
    </row>
    <row r="192" spans="22:34" x14ac:dyDescent="0.25">
      <c r="V192" s="7">
        <f>F192+H192+J192</f>
        <v>0</v>
      </c>
      <c r="W192" s="12">
        <f>L192*(firstCardNpBonus+VLOOKUP($W$1, cardNpValue, 2, FALSE)*(1+(N192/100))*(1+(Q192/100)))*G192</f>
        <v>0</v>
      </c>
      <c r="X192" s="13">
        <f>L192*(firstCardNpBonus+VLOOKUP($X$1, cardNpValue, 2,FALSE)*(1+(O192/100))*(1+(Q192/100)))*I192</f>
        <v>0</v>
      </c>
      <c r="Y192" s="14">
        <f>L192*(firstCardNpBonus+VLOOKUP($Y$1, cardNpValue, 2,FALSE)*(1+(P192/100))*(1+(Q192/100)))*K192</f>
        <v>0</v>
      </c>
      <c r="Z192" s="15">
        <f>F192*W192+H192*X192+J192*Y192+S192</f>
        <v>0</v>
      </c>
      <c r="AA192" s="8">
        <f>Z192/maxTotalNpGain</f>
        <v>0</v>
      </c>
      <c r="AB192" s="12">
        <f>((M192/100)+firstCardStarBonus+VLOOKUP($AB$1, cardStarValue, 2, FALSE)*(1+(N192/100))+(R192/100))*G192</f>
        <v>0</v>
      </c>
      <c r="AC192" s="13">
        <f>((M192/100)+firstCardStarBonus+VLOOKUP($AC$1, cardStarValue, 2,FALSE )*(1+(O192/100))+(R192/100))*I192</f>
        <v>0</v>
      </c>
      <c r="AD192" s="14">
        <f>((M192/100)+firstCardStarBonus+VLOOKUP($AD$1, cardStarValue, 2, FALSE)*(1+(P192/100))+(R192/100))*K192</f>
        <v>0</v>
      </c>
      <c r="AE192" s="11">
        <f>AB192*F192+AC192*H192+AD192*J192+T192</f>
        <v>0</v>
      </c>
      <c r="AF192" s="9">
        <f>AE192/maxTotalStarGen</f>
        <v>0</v>
      </c>
      <c r="AG192" s="10">
        <f>(AA192+AF192)/2</f>
        <v>0</v>
      </c>
      <c r="AH192" t="str">
        <f>CONCATENATE(D192,"|",B192,"|",C192,"|",E192,"|",ROUND(W192,2),"|",ROUND(X192,2),"|",ROUND(Y192,2),"|",ROUND(AB192,2),"|",ROUND(AC192,2),"|",ROUND(AD192,2),"|",ROUND(Z192,2),"|",ROUND(AE192,2),"|",ROUND(AA192*100,2),"%|",ROUND(AF192*100,2),"%|",ROUND(AG192*100,2),"%")</f>
        <v>||||0|0|0|0|0|0|0|0|0%|0%|0%</v>
      </c>
    </row>
    <row r="193" spans="22:34" x14ac:dyDescent="0.25">
      <c r="V193" s="7">
        <f>F193+H193+J193</f>
        <v>0</v>
      </c>
      <c r="W193" s="12">
        <f>L193*(firstCardNpBonus+VLOOKUP($W$1, cardNpValue, 2, FALSE)*(1+(N193/100))*(1+(Q193/100)))*G193</f>
        <v>0</v>
      </c>
      <c r="X193" s="13">
        <f>L193*(firstCardNpBonus+VLOOKUP($X$1, cardNpValue, 2,FALSE)*(1+(O193/100))*(1+(Q193/100)))*I193</f>
        <v>0</v>
      </c>
      <c r="Y193" s="14">
        <f>L193*(firstCardNpBonus+VLOOKUP($Y$1, cardNpValue, 2,FALSE)*(1+(P193/100))*(1+(Q193/100)))*K193</f>
        <v>0</v>
      </c>
      <c r="Z193" s="15">
        <f>F193*W193+H193*X193+J193*Y193+S193</f>
        <v>0</v>
      </c>
      <c r="AA193" s="8">
        <f>Z193/maxTotalNpGain</f>
        <v>0</v>
      </c>
      <c r="AB193" s="12">
        <f>((M193/100)+firstCardStarBonus+VLOOKUP($AB$1, cardStarValue, 2, FALSE)*(1+(N193/100))+(R193/100))*G193</f>
        <v>0</v>
      </c>
      <c r="AC193" s="13">
        <f>((M193/100)+firstCardStarBonus+VLOOKUP($AC$1, cardStarValue, 2,FALSE )*(1+(O193/100))+(R193/100))*I193</f>
        <v>0</v>
      </c>
      <c r="AD193" s="14">
        <f>((M193/100)+firstCardStarBonus+VLOOKUP($AD$1, cardStarValue, 2, FALSE)*(1+(P193/100))+(R193/100))*K193</f>
        <v>0</v>
      </c>
      <c r="AE193" s="11">
        <f>AB193*F193+AC193*H193+AD193*J193+T193</f>
        <v>0</v>
      </c>
      <c r="AF193" s="9">
        <f>AE193/maxTotalStarGen</f>
        <v>0</v>
      </c>
      <c r="AG193" s="10">
        <f>(AA193+AF193)/2</f>
        <v>0</v>
      </c>
      <c r="AH193" t="str">
        <f>CONCATENATE(D193,"|",B193,"|",C193,"|",E193,"|",ROUND(W193,2),"|",ROUND(X193,2),"|",ROUND(Y193,2),"|",ROUND(AB193,2),"|",ROUND(AC193,2),"|",ROUND(AD193,2),"|",ROUND(Z193,2),"|",ROUND(AE193,2),"|",ROUND(AA193*100,2),"%|",ROUND(AF193*100,2),"%|",ROUND(AG193*100,2),"%")</f>
        <v>||||0|0|0|0|0|0|0|0|0%|0%|0%</v>
      </c>
    </row>
    <row r="194" spans="22:34" x14ac:dyDescent="0.25">
      <c r="V194" s="7">
        <f>F194+H194+J194</f>
        <v>0</v>
      </c>
      <c r="W194" s="12">
        <f>L194*(firstCardNpBonus+VLOOKUP($W$1, cardNpValue, 2, FALSE)*(1+(N194/100))*(1+(Q194/100)))*G194</f>
        <v>0</v>
      </c>
      <c r="X194" s="13">
        <f>L194*(firstCardNpBonus+VLOOKUP($X$1, cardNpValue, 2,FALSE)*(1+(O194/100))*(1+(Q194/100)))*I194</f>
        <v>0</v>
      </c>
      <c r="Y194" s="14">
        <f>L194*(firstCardNpBonus+VLOOKUP($Y$1, cardNpValue, 2,FALSE)*(1+(P194/100))*(1+(Q194/100)))*K194</f>
        <v>0</v>
      </c>
      <c r="Z194" s="15">
        <f>F194*W194+H194*X194+J194*Y194+S194</f>
        <v>0</v>
      </c>
      <c r="AA194" s="8">
        <f>Z194/maxTotalNpGain</f>
        <v>0</v>
      </c>
      <c r="AB194" s="12">
        <f>((M194/100)+firstCardStarBonus+VLOOKUP($AB$1, cardStarValue, 2, FALSE)*(1+(N194/100))+(R194/100))*G194</f>
        <v>0</v>
      </c>
      <c r="AC194" s="13">
        <f>((M194/100)+firstCardStarBonus+VLOOKUP($AC$1, cardStarValue, 2,FALSE )*(1+(O194/100))+(R194/100))*I194</f>
        <v>0</v>
      </c>
      <c r="AD194" s="14">
        <f>((M194/100)+firstCardStarBonus+VLOOKUP($AD$1, cardStarValue, 2, FALSE)*(1+(P194/100))+(R194/100))*K194</f>
        <v>0</v>
      </c>
      <c r="AE194" s="11">
        <f>AB194*F194+AC194*H194+AD194*J194+T194</f>
        <v>0</v>
      </c>
      <c r="AF194" s="9">
        <f>AE194/maxTotalStarGen</f>
        <v>0</v>
      </c>
      <c r="AG194" s="10">
        <f>(AA194+AF194)/2</f>
        <v>0</v>
      </c>
      <c r="AH194" t="str">
        <f>CONCATENATE(D194,"|",B194,"|",C194,"|",E194,"|",ROUND(W194,2),"|",ROUND(X194,2),"|",ROUND(Y194,2),"|",ROUND(AB194,2),"|",ROUND(AC194,2),"|",ROUND(AD194,2),"|",ROUND(Z194,2),"|",ROUND(AE194,2),"|",ROUND(AA194*100,2),"%|",ROUND(AF194*100,2),"%|",ROUND(AG194*100,2),"%")</f>
        <v>||||0|0|0|0|0|0|0|0|0%|0%|0%</v>
      </c>
    </row>
    <row r="195" spans="22:34" x14ac:dyDescent="0.25">
      <c r="V195" s="7">
        <f>F195+H195+J195</f>
        <v>0</v>
      </c>
      <c r="W195" s="12">
        <f>L195*(firstCardNpBonus+VLOOKUP($W$1, cardNpValue, 2, FALSE)*(1+(N195/100))*(1+(Q195/100)))*G195</f>
        <v>0</v>
      </c>
      <c r="X195" s="13">
        <f>L195*(firstCardNpBonus+VLOOKUP($X$1, cardNpValue, 2,FALSE)*(1+(O195/100))*(1+(Q195/100)))*I195</f>
        <v>0</v>
      </c>
      <c r="Y195" s="14">
        <f>L195*(firstCardNpBonus+VLOOKUP($Y$1, cardNpValue, 2,FALSE)*(1+(P195/100))*(1+(Q195/100)))*K195</f>
        <v>0</v>
      </c>
      <c r="Z195" s="15">
        <f>F195*W195+H195*X195+J195*Y195+S195</f>
        <v>0</v>
      </c>
      <c r="AA195" s="8">
        <f>Z195/maxTotalNpGain</f>
        <v>0</v>
      </c>
      <c r="AB195" s="12">
        <f>((M195/100)+firstCardStarBonus+VLOOKUP($AB$1, cardStarValue, 2, FALSE)*(1+(N195/100))+(R195/100))*G195</f>
        <v>0</v>
      </c>
      <c r="AC195" s="13">
        <f>((M195/100)+firstCardStarBonus+VLOOKUP($AC$1, cardStarValue, 2,FALSE )*(1+(O195/100))+(R195/100))*I195</f>
        <v>0</v>
      </c>
      <c r="AD195" s="14">
        <f>((M195/100)+firstCardStarBonus+VLOOKUP($AD$1, cardStarValue, 2, FALSE)*(1+(P195/100))+(R195/100))*K195</f>
        <v>0</v>
      </c>
      <c r="AE195" s="11">
        <f>AB195*F195+AC195*H195+AD195*J195+T195</f>
        <v>0</v>
      </c>
      <c r="AF195" s="9">
        <f>AE195/maxTotalStarGen</f>
        <v>0</v>
      </c>
      <c r="AG195" s="10">
        <f>(AA195+AF195)/2</f>
        <v>0</v>
      </c>
      <c r="AH195" t="str">
        <f>CONCATENATE(D195,"|",B195,"|",C195,"|",E195,"|",ROUND(W195,2),"|",ROUND(X195,2),"|",ROUND(Y195,2),"|",ROUND(AB195,2),"|",ROUND(AC195,2),"|",ROUND(AD195,2),"|",ROUND(Z195,2),"|",ROUND(AE195,2),"|",ROUND(AA195*100,2),"%|",ROUND(AF195*100,2),"%|",ROUND(AG195*100,2),"%")</f>
        <v>||||0|0|0|0|0|0|0|0|0%|0%|0%</v>
      </c>
    </row>
    <row r="196" spans="22:34" x14ac:dyDescent="0.25">
      <c r="V196" s="7">
        <f>F196+H196+J196</f>
        <v>0</v>
      </c>
      <c r="W196" s="12">
        <f>L196*(firstCardNpBonus+VLOOKUP($W$1, cardNpValue, 2, FALSE)*(1+(N196/100))*(1+(Q196/100)))*G196</f>
        <v>0</v>
      </c>
      <c r="X196" s="13">
        <f>L196*(firstCardNpBonus+VLOOKUP($X$1, cardNpValue, 2,FALSE)*(1+(O196/100))*(1+(Q196/100)))*I196</f>
        <v>0</v>
      </c>
      <c r="Y196" s="14">
        <f>L196*(firstCardNpBonus+VLOOKUP($Y$1, cardNpValue, 2,FALSE)*(1+(P196/100))*(1+(Q196/100)))*K196</f>
        <v>0</v>
      </c>
      <c r="Z196" s="15">
        <f>F196*W196+H196*X196+J196*Y196+S196</f>
        <v>0</v>
      </c>
      <c r="AA196" s="8">
        <f>Z196/maxTotalNpGain</f>
        <v>0</v>
      </c>
      <c r="AB196" s="12">
        <f>((M196/100)+firstCardStarBonus+VLOOKUP($AB$1, cardStarValue, 2, FALSE)*(1+(N196/100))+(R196/100))*G196</f>
        <v>0</v>
      </c>
      <c r="AC196" s="13">
        <f>((M196/100)+firstCardStarBonus+VLOOKUP($AC$1, cardStarValue, 2,FALSE )*(1+(O196/100))+(R196/100))*I196</f>
        <v>0</v>
      </c>
      <c r="AD196" s="14">
        <f>((M196/100)+firstCardStarBonus+VLOOKUP($AD$1, cardStarValue, 2, FALSE)*(1+(P196/100))+(R196/100))*K196</f>
        <v>0</v>
      </c>
      <c r="AE196" s="11">
        <f>AB196*F196+AC196*H196+AD196*J196+T196</f>
        <v>0</v>
      </c>
      <c r="AF196" s="9">
        <f>AE196/maxTotalStarGen</f>
        <v>0</v>
      </c>
      <c r="AG196" s="10">
        <f>(AA196+AF196)/2</f>
        <v>0</v>
      </c>
      <c r="AH196" t="str">
        <f>CONCATENATE(D196,"|",B196,"|",C196,"|",E196,"|",ROUND(W196,2),"|",ROUND(X196,2),"|",ROUND(Y196,2),"|",ROUND(AB196,2),"|",ROUND(AC196,2),"|",ROUND(AD196,2),"|",ROUND(Z196,2),"|",ROUND(AE196,2),"|",ROUND(AA196*100,2),"%|",ROUND(AF196*100,2),"%|",ROUND(AG196*100,2),"%")</f>
        <v>||||0|0|0|0|0|0|0|0|0%|0%|0%</v>
      </c>
    </row>
    <row r="197" spans="22:34" x14ac:dyDescent="0.25">
      <c r="V197" s="7">
        <f>F197+H197+J197</f>
        <v>0</v>
      </c>
      <c r="W197" s="12">
        <f>L197*(firstCardNpBonus+VLOOKUP($W$1, cardNpValue, 2, FALSE)*(1+(N197/100))*(1+(Q197/100)))*G197</f>
        <v>0</v>
      </c>
      <c r="X197" s="13">
        <f>L197*(firstCardNpBonus+VLOOKUP($X$1, cardNpValue, 2,FALSE)*(1+(O197/100))*(1+(Q197/100)))*I197</f>
        <v>0</v>
      </c>
      <c r="Y197" s="14">
        <f>L197*(firstCardNpBonus+VLOOKUP($Y$1, cardNpValue, 2,FALSE)*(1+(P197/100))*(1+(Q197/100)))*K197</f>
        <v>0</v>
      </c>
      <c r="Z197" s="15">
        <f>F197*W197+H197*X197+J197*Y197+S197</f>
        <v>0</v>
      </c>
      <c r="AA197" s="8">
        <f>Z197/maxTotalNpGain</f>
        <v>0</v>
      </c>
      <c r="AB197" s="12">
        <f>((M197/100)+firstCardStarBonus+VLOOKUP($AB$1, cardStarValue, 2, FALSE)*(1+(N197/100))+(R197/100))*G197</f>
        <v>0</v>
      </c>
      <c r="AC197" s="13">
        <f>((M197/100)+firstCardStarBonus+VLOOKUP($AC$1, cardStarValue, 2,FALSE )*(1+(O197/100))+(R197/100))*I197</f>
        <v>0</v>
      </c>
      <c r="AD197" s="14">
        <f>((M197/100)+firstCardStarBonus+VLOOKUP($AD$1, cardStarValue, 2, FALSE)*(1+(P197/100))+(R197/100))*K197</f>
        <v>0</v>
      </c>
      <c r="AE197" s="11">
        <f>AB197*F197+AC197*H197+AD197*J197+T197</f>
        <v>0</v>
      </c>
      <c r="AF197" s="9">
        <f>AE197/maxTotalStarGen</f>
        <v>0</v>
      </c>
      <c r="AG197" s="10">
        <f>(AA197+AF197)/2</f>
        <v>0</v>
      </c>
      <c r="AH197" t="str">
        <f>CONCATENATE(D197,"|",B197,"|",C197,"|",E197,"|",ROUND(W197,2),"|",ROUND(X197,2),"|",ROUND(Y197,2),"|",ROUND(AB197,2),"|",ROUND(AC197,2),"|",ROUND(AD197,2),"|",ROUND(Z197,2),"|",ROUND(AE197,2),"|",ROUND(AA197*100,2),"%|",ROUND(AF197*100,2),"%|",ROUND(AG197*100,2),"%")</f>
        <v>||||0|0|0|0|0|0|0|0|0%|0%|0%</v>
      </c>
    </row>
    <row r="198" spans="22:34" x14ac:dyDescent="0.25">
      <c r="V198" s="7">
        <f>F198+H198+J198</f>
        <v>0</v>
      </c>
      <c r="W198" s="12">
        <f>L198*(firstCardNpBonus+VLOOKUP($W$1, cardNpValue, 2, FALSE)*(1+(N198/100))*(1+(Q198/100)))*G198</f>
        <v>0</v>
      </c>
      <c r="X198" s="13">
        <f>L198*(firstCardNpBonus+VLOOKUP($X$1, cardNpValue, 2,FALSE)*(1+(O198/100))*(1+(Q198/100)))*I198</f>
        <v>0</v>
      </c>
      <c r="Y198" s="14">
        <f>L198*(firstCardNpBonus+VLOOKUP($Y$1, cardNpValue, 2,FALSE)*(1+(P198/100))*(1+(Q198/100)))*K198</f>
        <v>0</v>
      </c>
      <c r="Z198" s="15">
        <f>F198*W198+H198*X198+J198*Y198+S198</f>
        <v>0</v>
      </c>
      <c r="AA198" s="8">
        <f>Z198/maxTotalNpGain</f>
        <v>0</v>
      </c>
      <c r="AB198" s="12">
        <f>((M198/100)+firstCardStarBonus+VLOOKUP($AB$1, cardStarValue, 2, FALSE)*(1+(N198/100))+(R198/100))*G198</f>
        <v>0</v>
      </c>
      <c r="AC198" s="13">
        <f>((M198/100)+firstCardStarBonus+VLOOKUP($AC$1, cardStarValue, 2,FALSE )*(1+(O198/100))+(R198/100))*I198</f>
        <v>0</v>
      </c>
      <c r="AD198" s="14">
        <f>((M198/100)+firstCardStarBonus+VLOOKUP($AD$1, cardStarValue, 2, FALSE)*(1+(P198/100))+(R198/100))*K198</f>
        <v>0</v>
      </c>
      <c r="AE198" s="11">
        <f>AB198*F198+AC198*H198+AD198*J198+T198</f>
        <v>0</v>
      </c>
      <c r="AF198" s="9">
        <f>AE198/maxTotalStarGen</f>
        <v>0</v>
      </c>
      <c r="AG198" s="10">
        <f>(AA198+AF198)/2</f>
        <v>0</v>
      </c>
      <c r="AH198" t="str">
        <f>CONCATENATE(D198,"|",B198,"|",C198,"|",E198,"|",ROUND(W198,2),"|",ROUND(X198,2),"|",ROUND(Y198,2),"|",ROUND(AB198,2),"|",ROUND(AC198,2),"|",ROUND(AD198,2),"|",ROUND(Z198,2),"|",ROUND(AE198,2),"|",ROUND(AA198*100,2),"%|",ROUND(AF198*100,2),"%|",ROUND(AG198*100,2),"%")</f>
        <v>||||0|0|0|0|0|0|0|0|0%|0%|0%</v>
      </c>
    </row>
    <row r="199" spans="22:34" x14ac:dyDescent="0.25">
      <c r="V199" s="7">
        <f>F199+H199+J199</f>
        <v>0</v>
      </c>
      <c r="W199" s="12">
        <f>L199*(firstCardNpBonus+VLOOKUP($W$1, cardNpValue, 2, FALSE)*(1+(N199/100))*(1+(Q199/100)))*G199</f>
        <v>0</v>
      </c>
      <c r="X199" s="13">
        <f>L199*(firstCardNpBonus+VLOOKUP($X$1, cardNpValue, 2,FALSE)*(1+(O199/100))*(1+(Q199/100)))*I199</f>
        <v>0</v>
      </c>
      <c r="Y199" s="14">
        <f>L199*(firstCardNpBonus+VLOOKUP($Y$1, cardNpValue, 2,FALSE)*(1+(P199/100))*(1+(Q199/100)))*K199</f>
        <v>0</v>
      </c>
      <c r="Z199" s="15">
        <f>F199*W199+H199*X199+J199*Y199+S199</f>
        <v>0</v>
      </c>
      <c r="AA199" s="8">
        <f>Z199/maxTotalNpGain</f>
        <v>0</v>
      </c>
      <c r="AB199" s="12">
        <f>((M199/100)+firstCardStarBonus+VLOOKUP($AB$1, cardStarValue, 2, FALSE)*(1+(N199/100))+(R199/100))*G199</f>
        <v>0</v>
      </c>
      <c r="AC199" s="13">
        <f>((M199/100)+firstCardStarBonus+VLOOKUP($AC$1, cardStarValue, 2,FALSE )*(1+(O199/100))+(R199/100))*I199</f>
        <v>0</v>
      </c>
      <c r="AD199" s="14">
        <f>((M199/100)+firstCardStarBonus+VLOOKUP($AD$1, cardStarValue, 2, FALSE)*(1+(P199/100))+(R199/100))*K199</f>
        <v>0</v>
      </c>
      <c r="AE199" s="11">
        <f>AB199*F199+AC199*H199+AD199*J199+T199</f>
        <v>0</v>
      </c>
      <c r="AF199" s="9">
        <f>AE199/maxTotalStarGen</f>
        <v>0</v>
      </c>
      <c r="AG199" s="10">
        <f>(AA199+AF199)/2</f>
        <v>0</v>
      </c>
      <c r="AH199" t="str">
        <f>CONCATENATE(D199,"|",B199,"|",C199,"|",E199,"|",ROUND(W199,2),"|",ROUND(X199,2),"|",ROUND(Y199,2),"|",ROUND(AB199,2),"|",ROUND(AC199,2),"|",ROUND(AD199,2),"|",ROUND(Z199,2),"|",ROUND(AE199,2),"|",ROUND(AA199*100,2),"%|",ROUND(AF199*100,2),"%|",ROUND(AG199*100,2),"%")</f>
        <v>||||0|0|0|0|0|0|0|0|0%|0%|0%</v>
      </c>
    </row>
    <row r="200" spans="22:34" x14ac:dyDescent="0.25">
      <c r="V200" s="7">
        <f>F200+H200+J200</f>
        <v>0</v>
      </c>
      <c r="W200" s="12">
        <f>L200*(firstCardNpBonus+VLOOKUP($W$1, cardNpValue, 2, FALSE)*(1+(N200/100))*(1+(Q200/100)))*G200</f>
        <v>0</v>
      </c>
      <c r="X200" s="13">
        <f>L200*(firstCardNpBonus+VLOOKUP($X$1, cardNpValue, 2,FALSE)*(1+(O200/100))*(1+(Q200/100)))*I200</f>
        <v>0</v>
      </c>
      <c r="Y200" s="14">
        <f>L200*(firstCardNpBonus+VLOOKUP($Y$1, cardNpValue, 2,FALSE)*(1+(P200/100))*(1+(Q200/100)))*K200</f>
        <v>0</v>
      </c>
      <c r="Z200" s="15">
        <f>F200*W200+H200*X200+J200*Y200+S200</f>
        <v>0</v>
      </c>
      <c r="AA200" s="8">
        <f>Z200/maxTotalNpGain</f>
        <v>0</v>
      </c>
      <c r="AB200" s="12">
        <f>((M200/100)+firstCardStarBonus+VLOOKUP($AB$1, cardStarValue, 2, FALSE)*(1+(N200/100))+(R200/100))*G200</f>
        <v>0</v>
      </c>
      <c r="AC200" s="13">
        <f>((M200/100)+firstCardStarBonus+VLOOKUP($AC$1, cardStarValue, 2,FALSE )*(1+(O200/100))+(R200/100))*I200</f>
        <v>0</v>
      </c>
      <c r="AD200" s="14">
        <f>((M200/100)+firstCardStarBonus+VLOOKUP($AD$1, cardStarValue, 2, FALSE)*(1+(P200/100))+(R200/100))*K200</f>
        <v>0</v>
      </c>
      <c r="AE200" s="11">
        <f>AB200*F200+AC200*H200+AD200*J200+T200</f>
        <v>0</v>
      </c>
      <c r="AF200" s="9">
        <f>AE200/maxTotalStarGen</f>
        <v>0</v>
      </c>
      <c r="AG200" s="10">
        <f>(AA200+AF200)/2</f>
        <v>0</v>
      </c>
      <c r="AH200" t="str">
        <f>CONCATENATE(D200,"|",B200,"|",C200,"|",E200,"|",ROUND(W200,2),"|",ROUND(X200,2),"|",ROUND(Y200,2),"|",ROUND(AB200,2),"|",ROUND(AC200,2),"|",ROUND(AD200,2),"|",ROUND(Z200,2),"|",ROUND(AE200,2),"|",ROUND(AA200*100,2),"%|",ROUND(AF200*100,2),"%|",ROUND(AG200*100,2),"%")</f>
        <v>||||0|0|0|0|0|0|0|0|0%|0%|0%</v>
      </c>
    </row>
  </sheetData>
  <autoFilter ref="A1:AG200">
    <sortState ref="A2:AG200">
      <sortCondition descending="1" ref="AG1:AG20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tabSelected="1" workbookViewId="0">
      <selection activeCell="L3" sqref="L3"/>
    </sheetView>
  </sheetViews>
  <sheetFormatPr defaultRowHeight="15" x14ac:dyDescent="0.25"/>
  <cols>
    <col min="2" max="2" width="12.85546875" bestFit="1" customWidth="1"/>
    <col min="3" max="3" width="13.42578125" bestFit="1" customWidth="1"/>
  </cols>
  <sheetData>
    <row r="1" spans="1:5" x14ac:dyDescent="0.25">
      <c r="A1" t="s">
        <v>2</v>
      </c>
      <c r="B1" s="6" t="s">
        <v>29</v>
      </c>
      <c r="C1" s="5" t="s">
        <v>30</v>
      </c>
    </row>
    <row r="2" spans="1:5" x14ac:dyDescent="0.25">
      <c r="A2" t="str">
        <f>Data!D2</f>
        <v>Jack the Ripper</v>
      </c>
      <c r="B2">
        <f>Data!Z2</f>
        <v>56.041250000000005</v>
      </c>
      <c r="C2">
        <f>Data!AE2</f>
        <v>32.064999999999998</v>
      </c>
      <c r="E2" t="s">
        <v>89</v>
      </c>
    </row>
    <row r="3" spans="1:5" x14ac:dyDescent="0.25">
      <c r="A3" t="str">
        <f>Data!D3</f>
        <v>Cleopatra</v>
      </c>
      <c r="B3">
        <f>Data!Z3</f>
        <v>48.671999999999997</v>
      </c>
      <c r="C3">
        <f>Data!AE3</f>
        <v>23.193333333333332</v>
      </c>
      <c r="E3" s="1" t="s">
        <v>90</v>
      </c>
    </row>
    <row r="4" spans="1:5" x14ac:dyDescent="0.25">
      <c r="A4" t="str">
        <f>Data!D4</f>
        <v>Chloe von Einzbern</v>
      </c>
      <c r="B4">
        <f>Data!Z4</f>
        <v>41.549133333333337</v>
      </c>
      <c r="C4">
        <f>Data!AE4</f>
        <v>24.267000000000003</v>
      </c>
    </row>
    <row r="5" spans="1:5" x14ac:dyDescent="0.25">
      <c r="A5" t="str">
        <f>Data!D5</f>
        <v>Sakata Kintoki (Rider)</v>
      </c>
      <c r="B5">
        <f>Data!Z5</f>
        <v>48.767333333333333</v>
      </c>
      <c r="C5">
        <f>Data!AE5</f>
        <v>19.652000000000001</v>
      </c>
    </row>
    <row r="6" spans="1:5" x14ac:dyDescent="0.25">
      <c r="A6" t="str">
        <f>Data!D6</f>
        <v>Carmilla</v>
      </c>
      <c r="B6">
        <f>Data!Z6</f>
        <v>50.725000000000001</v>
      </c>
      <c r="C6">
        <f>Data!AE6</f>
        <v>16.885999999999999</v>
      </c>
    </row>
    <row r="7" spans="1:5" x14ac:dyDescent="0.25">
      <c r="A7" t="str">
        <f>Data!D7</f>
        <v>Cursed Arm Hassan</v>
      </c>
      <c r="B7">
        <f>Data!Z7</f>
        <v>36.915000000000006</v>
      </c>
      <c r="C7">
        <f>Data!AE7</f>
        <v>23.693999999999999</v>
      </c>
    </row>
    <row r="8" spans="1:5" x14ac:dyDescent="0.25">
      <c r="A8" t="str">
        <f>Data!D8</f>
        <v>Fuuma Kotarou</v>
      </c>
      <c r="B8">
        <f>Data!Z8</f>
        <v>28.620000000000005</v>
      </c>
      <c r="C8">
        <f>Data!AE8</f>
        <v>26.70366666666667</v>
      </c>
    </row>
    <row r="9" spans="1:5" x14ac:dyDescent="0.25">
      <c r="A9" t="str">
        <f>Data!D9</f>
        <v>Okita Souji</v>
      </c>
      <c r="B9">
        <f>Data!Z9</f>
        <v>43.382000000000005</v>
      </c>
      <c r="C9">
        <f>Data!AE9</f>
        <v>19.088000000000001</v>
      </c>
    </row>
    <row r="10" spans="1:5" x14ac:dyDescent="0.25">
      <c r="A10" t="str">
        <f>Data!D10</f>
        <v>Tamamo no Mae (Lancer)</v>
      </c>
      <c r="B10">
        <f>Data!Z10</f>
        <v>43.076250000000002</v>
      </c>
      <c r="C10">
        <f>Data!AE10</f>
        <v>18.825333333333333</v>
      </c>
    </row>
    <row r="11" spans="1:5" x14ac:dyDescent="0.25">
      <c r="A11" t="str">
        <f>Data!D11</f>
        <v>Mysterious Heroine X</v>
      </c>
      <c r="B11">
        <f>Data!Z11</f>
        <v>35.996400000000008</v>
      </c>
      <c r="C11">
        <f>Data!AE11</f>
        <v>21.826000000000001</v>
      </c>
    </row>
    <row r="12" spans="1:5" x14ac:dyDescent="0.25">
      <c r="A12" t="str">
        <f>Data!D12</f>
        <v>Stheno</v>
      </c>
      <c r="B12">
        <f>Data!Z12</f>
        <v>53.089999999999996</v>
      </c>
      <c r="C12">
        <f>Data!AE12</f>
        <v>12.389999999999999</v>
      </c>
    </row>
    <row r="13" spans="1:5" x14ac:dyDescent="0.25">
      <c r="A13" t="str">
        <f>Data!D13</f>
        <v>Medea (Lily)</v>
      </c>
      <c r="B13">
        <f>Data!Z13</f>
        <v>54.756571428571434</v>
      </c>
      <c r="C13">
        <f>Data!AE13</f>
        <v>11.483000000000001</v>
      </c>
    </row>
    <row r="14" spans="1:5" x14ac:dyDescent="0.25">
      <c r="A14" t="str">
        <f>Data!D14</f>
        <v>Lancelot (Saber)</v>
      </c>
      <c r="B14">
        <f>Data!Z14</f>
        <v>36.4238</v>
      </c>
      <c r="C14">
        <f>Data!AE14</f>
        <v>20.745333333333335</v>
      </c>
    </row>
    <row r="15" spans="1:5" x14ac:dyDescent="0.25">
      <c r="A15" t="str">
        <f>Data!D15</f>
        <v>Yan Qing</v>
      </c>
      <c r="B15">
        <f>Data!Z15</f>
        <v>29.550199999999997</v>
      </c>
      <c r="C15">
        <f>Data!AE15</f>
        <v>24.153333333333332</v>
      </c>
    </row>
    <row r="16" spans="1:5" x14ac:dyDescent="0.25">
      <c r="A16" t="str">
        <f>Data!D16</f>
        <v>Enkidu</v>
      </c>
      <c r="B16">
        <f>Data!Z16</f>
        <v>32.078250000000004</v>
      </c>
      <c r="C16">
        <f>Data!AE16</f>
        <v>22.305000000000003</v>
      </c>
    </row>
    <row r="17" spans="1:3" x14ac:dyDescent="0.25">
      <c r="A17" t="str">
        <f>Data!D17</f>
        <v>Gilgamesh (Caster)</v>
      </c>
      <c r="B17">
        <f>Data!Z17</f>
        <v>35.320000000000007</v>
      </c>
      <c r="C17">
        <f>Data!AE17</f>
        <v>20.464142857142857</v>
      </c>
    </row>
    <row r="18" spans="1:3" x14ac:dyDescent="0.25">
      <c r="A18" t="str">
        <f>Data!D18</f>
        <v>Ryougi Shiki (Assassin)</v>
      </c>
      <c r="B18">
        <f>Data!Z18</f>
        <v>40.840000000000003</v>
      </c>
      <c r="C18">
        <f>Data!AE18</f>
        <v>17.257999999999999</v>
      </c>
    </row>
    <row r="19" spans="1:3" x14ac:dyDescent="0.25">
      <c r="A19" t="str">
        <f>Data!D19</f>
        <v>Tristan</v>
      </c>
      <c r="B19">
        <f>Data!Z19</f>
        <v>41.973333333333336</v>
      </c>
      <c r="C19">
        <f>Data!AE19</f>
        <v>16.489000000000001</v>
      </c>
    </row>
    <row r="20" spans="1:3" x14ac:dyDescent="0.25">
      <c r="A20" t="str">
        <f>Data!D20</f>
        <v>Nitocris</v>
      </c>
      <c r="B20">
        <f>Data!Z20</f>
        <v>53.079857142857136</v>
      </c>
      <c r="C20">
        <f>Data!AE20</f>
        <v>10.578000000000001</v>
      </c>
    </row>
    <row r="21" spans="1:3" x14ac:dyDescent="0.25">
      <c r="A21" t="str">
        <f>Data!D21</f>
        <v>Chacha</v>
      </c>
      <c r="B21">
        <f>Data!Z21</f>
        <v>39.505000000000003</v>
      </c>
      <c r="C21">
        <f>Data!AE21</f>
        <v>17.197500000000002</v>
      </c>
    </row>
    <row r="22" spans="1:3" x14ac:dyDescent="0.25">
      <c r="A22" t="str">
        <f>Data!D22</f>
        <v>Vlad III (EXTRA)</v>
      </c>
      <c r="B22">
        <f>Data!Z22</f>
        <v>35.200000000000003</v>
      </c>
      <c r="C22">
        <f>Data!AE22</f>
        <v>19.124000000000002</v>
      </c>
    </row>
    <row r="23" spans="1:3" x14ac:dyDescent="0.25">
      <c r="A23" t="str">
        <f>Data!D23</f>
        <v>Medea</v>
      </c>
      <c r="B23">
        <f>Data!Z23</f>
        <v>62.98207142857143</v>
      </c>
      <c r="C23">
        <f>Data!AE23</f>
        <v>4.6039999999999992</v>
      </c>
    </row>
    <row r="24" spans="1:3" x14ac:dyDescent="0.25">
      <c r="A24" t="str">
        <f>Data!D24</f>
        <v>Francis Drake</v>
      </c>
      <c r="B24">
        <f>Data!Z24</f>
        <v>39.416273333333336</v>
      </c>
      <c r="C24">
        <f>Data!AE24</f>
        <v>15.910666666666668</v>
      </c>
    </row>
    <row r="25" spans="1:3" x14ac:dyDescent="0.25">
      <c r="A25" t="str">
        <f>Data!D25</f>
        <v>EMIYA (Assassin)</v>
      </c>
      <c r="B25">
        <f>Data!Z25</f>
        <v>22.742400000000004</v>
      </c>
      <c r="C25">
        <f>Data!AE25</f>
        <v>24.398000000000003</v>
      </c>
    </row>
    <row r="26" spans="1:3" x14ac:dyDescent="0.25">
      <c r="A26" t="str">
        <f>Data!D26</f>
        <v>Mata Hari</v>
      </c>
      <c r="B26">
        <f>Data!Z26</f>
        <v>45.15</v>
      </c>
      <c r="C26">
        <f>Data!AE26</f>
        <v>12.957999999999998</v>
      </c>
    </row>
    <row r="27" spans="1:3" x14ac:dyDescent="0.25">
      <c r="A27" t="str">
        <f>Data!D27</f>
        <v>Xuanzang</v>
      </c>
      <c r="B27">
        <f>Data!Z27</f>
        <v>52.981743428571427</v>
      </c>
      <c r="C27">
        <f>Data!AE27</f>
        <v>8.9500000000000011</v>
      </c>
    </row>
    <row r="28" spans="1:3" x14ac:dyDescent="0.25">
      <c r="A28" t="str">
        <f>Data!D28</f>
        <v>Leonardo Da Vinci</v>
      </c>
      <c r="B28">
        <f>Data!Z28</f>
        <v>48.190333333333335</v>
      </c>
      <c r="C28">
        <f>Data!AE28</f>
        <v>11.328666666666667</v>
      </c>
    </row>
    <row r="29" spans="1:3" x14ac:dyDescent="0.25">
      <c r="A29" t="str">
        <f>Data!D29</f>
        <v>Scathach (Assassin)</v>
      </c>
      <c r="B29">
        <f>Data!Z29</f>
        <v>30.618749999999999</v>
      </c>
      <c r="C29">
        <f>Data!AE29</f>
        <v>20.265000000000001</v>
      </c>
    </row>
    <row r="30" spans="1:3" x14ac:dyDescent="0.25">
      <c r="A30" t="str">
        <f>Data!D30</f>
        <v>Hans Christian Andersen</v>
      </c>
      <c r="B30">
        <f>Data!Z30</f>
        <v>50.746399999999994</v>
      </c>
      <c r="C30">
        <f>Data!AE30</f>
        <v>9.9980000000000011</v>
      </c>
    </row>
    <row r="31" spans="1:3" x14ac:dyDescent="0.25">
      <c r="A31" t="str">
        <f>Data!D31</f>
        <v>Sasaki Kojirou</v>
      </c>
      <c r="B31">
        <f>Data!Z31</f>
        <v>28.35</v>
      </c>
      <c r="C31">
        <f>Data!AE31</f>
        <v>20.997</v>
      </c>
    </row>
    <row r="32" spans="1:3" x14ac:dyDescent="0.25">
      <c r="A32" t="str">
        <f>Data!D32</f>
        <v>Helena Blavatsky</v>
      </c>
      <c r="B32">
        <f>Data!Z32</f>
        <v>36.063928571428576</v>
      </c>
      <c r="C32">
        <f>Data!AE32</f>
        <v>16.668428571428571</v>
      </c>
    </row>
    <row r="33" spans="1:3" x14ac:dyDescent="0.25">
      <c r="A33" t="str">
        <f>Data!D33</f>
        <v>Artoria Pendragon (Archer)</v>
      </c>
      <c r="B33">
        <f>Data!Z33</f>
        <v>37.022500000000001</v>
      </c>
      <c r="C33">
        <f>Data!AE33</f>
        <v>15.61</v>
      </c>
    </row>
    <row r="34" spans="1:3" x14ac:dyDescent="0.25">
      <c r="A34" t="str">
        <f>Data!D34</f>
        <v>Hassan of Serenity</v>
      </c>
      <c r="B34">
        <f>Data!Z34</f>
        <v>27.560000000000006</v>
      </c>
      <c r="C34">
        <f>Data!AE34</f>
        <v>20.376000000000001</v>
      </c>
    </row>
    <row r="35" spans="1:3" x14ac:dyDescent="0.25">
      <c r="A35" t="str">
        <f>Data!D35</f>
        <v>Mysterious Heroine X (Alter)</v>
      </c>
      <c r="B35">
        <f>Data!Z35</f>
        <v>36.380000000000003</v>
      </c>
      <c r="C35">
        <f>Data!AE35</f>
        <v>15.872</v>
      </c>
    </row>
    <row r="36" spans="1:3" x14ac:dyDescent="0.25">
      <c r="A36" t="str">
        <f>Data!D36</f>
        <v>Meltlilith</v>
      </c>
      <c r="B36">
        <f>Data!Z36</f>
        <v>31.243200000000002</v>
      </c>
      <c r="C36">
        <f>Data!AE36</f>
        <v>18.155999999999999</v>
      </c>
    </row>
    <row r="37" spans="1:3" x14ac:dyDescent="0.25">
      <c r="A37" t="str">
        <f>Data!D37</f>
        <v>Gilgamesh</v>
      </c>
      <c r="B37">
        <f>Data!Z37</f>
        <v>36.8125</v>
      </c>
      <c r="C37">
        <f>Data!AE37</f>
        <v>14.975000000000003</v>
      </c>
    </row>
    <row r="38" spans="1:3" x14ac:dyDescent="0.25">
      <c r="A38" t="str">
        <f>Data!D38</f>
        <v>Edmond Dantes</v>
      </c>
      <c r="B38">
        <f>Data!Z38</f>
        <v>29.195</v>
      </c>
      <c r="C38">
        <f>Data!AE38</f>
        <v>18.777333333333335</v>
      </c>
    </row>
    <row r="39" spans="1:3" x14ac:dyDescent="0.25">
      <c r="A39" t="str">
        <f>Data!D39</f>
        <v>Merlin</v>
      </c>
      <c r="B39">
        <f>Data!Z39</f>
        <v>47.427557142857154</v>
      </c>
      <c r="C39">
        <f>Data!AE39</f>
        <v>9.4280714285714282</v>
      </c>
    </row>
    <row r="40" spans="1:3" x14ac:dyDescent="0.25">
      <c r="A40" t="str">
        <f>Data!D40</f>
        <v>BB</v>
      </c>
      <c r="B40">
        <f>Data!Z40</f>
        <v>34.587000000000003</v>
      </c>
      <c r="C40">
        <f>Data!AE40</f>
        <v>15.754999999999999</v>
      </c>
    </row>
    <row r="41" spans="1:3" x14ac:dyDescent="0.25">
      <c r="A41" t="str">
        <f>Data!D41</f>
        <v>Shuten Douji</v>
      </c>
      <c r="B41">
        <f>Data!Z41</f>
        <v>29.700000000000003</v>
      </c>
      <c r="C41">
        <f>Data!AE41</f>
        <v>18.2</v>
      </c>
    </row>
    <row r="42" spans="1:3" x14ac:dyDescent="0.25">
      <c r="A42" t="str">
        <f>Data!D42</f>
        <v>Thomas Edison</v>
      </c>
      <c r="B42">
        <f>Data!Z42</f>
        <v>36.426200000000001</v>
      </c>
      <c r="C42">
        <f>Data!AE42</f>
        <v>14.690000000000001</v>
      </c>
    </row>
    <row r="43" spans="1:3" x14ac:dyDescent="0.25">
      <c r="A43" t="str">
        <f>Data!D43</f>
        <v>Wolfgang Amadeus Mozart</v>
      </c>
      <c r="B43">
        <f>Data!Z43</f>
        <v>39.628799999999998</v>
      </c>
      <c r="C43">
        <f>Data!AE43</f>
        <v>12.943333333333335</v>
      </c>
    </row>
    <row r="44" spans="1:3" x14ac:dyDescent="0.25">
      <c r="A44" t="str">
        <f>Data!D44</f>
        <v>Robin Hood</v>
      </c>
      <c r="B44">
        <f>Data!Z44</f>
        <v>36.583499999999994</v>
      </c>
      <c r="C44">
        <f>Data!AE44</f>
        <v>14.363333333333335</v>
      </c>
    </row>
    <row r="45" spans="1:3" x14ac:dyDescent="0.25">
      <c r="A45" t="str">
        <f>Data!D45</f>
        <v>EMIYA (Alter)</v>
      </c>
      <c r="B45">
        <f>Data!Z45</f>
        <v>30.478400000000001</v>
      </c>
      <c r="C45">
        <f>Data!AE45</f>
        <v>17.239999999999998</v>
      </c>
    </row>
    <row r="46" spans="1:3" x14ac:dyDescent="0.25">
      <c r="A46" t="str">
        <f>Data!D46</f>
        <v>Artoria Pendragon (Lancer)</v>
      </c>
      <c r="B46">
        <f>Data!Z46</f>
        <v>40.123333333333335</v>
      </c>
      <c r="C46">
        <f>Data!AE46</f>
        <v>12.13</v>
      </c>
    </row>
    <row r="47" spans="1:3" x14ac:dyDescent="0.25">
      <c r="A47" t="str">
        <f>Data!D47</f>
        <v>Jing Ke</v>
      </c>
      <c r="B47">
        <f>Data!Z47</f>
        <v>28.917000000000002</v>
      </c>
      <c r="C47">
        <f>Data!AE47</f>
        <v>17.826000000000001</v>
      </c>
    </row>
    <row r="48" spans="1:3" x14ac:dyDescent="0.25">
      <c r="A48" t="str">
        <f>Data!D48</f>
        <v>Euryale</v>
      </c>
      <c r="B48">
        <f>Data!Z48</f>
        <v>41.615999999999993</v>
      </c>
      <c r="C48">
        <f>Data!AE48</f>
        <v>11.019</v>
      </c>
    </row>
    <row r="49" spans="1:3" x14ac:dyDescent="0.25">
      <c r="A49" t="str">
        <f>Data!D49</f>
        <v>Elizabeth Bathory (Halloween)</v>
      </c>
      <c r="B49">
        <f>Data!Z49</f>
        <v>37.728000000000002</v>
      </c>
      <c r="C49">
        <f>Data!AE49</f>
        <v>12.954357142857145</v>
      </c>
    </row>
    <row r="50" spans="1:3" x14ac:dyDescent="0.25">
      <c r="A50" t="str">
        <f>Data!D50</f>
        <v>The Phantom of the Opera</v>
      </c>
      <c r="B50">
        <f>Data!Z50</f>
        <v>23.784999999999997</v>
      </c>
      <c r="C50">
        <f>Data!AE50</f>
        <v>19.572000000000003</v>
      </c>
    </row>
    <row r="51" spans="1:3" x14ac:dyDescent="0.25">
      <c r="A51" t="str">
        <f>Data!D51</f>
        <v>Jaguar Man</v>
      </c>
      <c r="B51">
        <f>Data!Z51</f>
        <v>30.450000000000003</v>
      </c>
      <c r="C51">
        <f>Data!AE51</f>
        <v>16.012</v>
      </c>
    </row>
    <row r="52" spans="1:3" x14ac:dyDescent="0.25">
      <c r="A52" t="str">
        <f>Data!D52</f>
        <v>Kiyohime (Lancer)</v>
      </c>
      <c r="B52">
        <f>Data!Z52</f>
        <v>34.650000000000006</v>
      </c>
      <c r="C52">
        <f>Data!AE52</f>
        <v>13.3</v>
      </c>
    </row>
    <row r="53" spans="1:3" x14ac:dyDescent="0.25">
      <c r="A53" t="str">
        <f>Data!D53</f>
        <v>Hundred-Faced Hassan</v>
      </c>
      <c r="B53">
        <f>Data!Z53</f>
        <v>22.467910400000001</v>
      </c>
      <c r="C53">
        <f>Data!AE53</f>
        <v>19.429800000000004</v>
      </c>
    </row>
    <row r="54" spans="1:3" x14ac:dyDescent="0.25">
      <c r="A54" t="str">
        <f>Data!D54</f>
        <v>Amakusa Shirou</v>
      </c>
      <c r="B54">
        <f>Data!Z54</f>
        <v>37.089999999999996</v>
      </c>
      <c r="C54">
        <f>Data!AE54</f>
        <v>11.400000000000002</v>
      </c>
    </row>
    <row r="55" spans="1:3" x14ac:dyDescent="0.25">
      <c r="A55" t="str">
        <f>Data!D55</f>
        <v>Mordred (Rider)</v>
      </c>
      <c r="B55">
        <f>Data!Z55</f>
        <v>33.885614285714283</v>
      </c>
      <c r="C55">
        <f>Data!AE55</f>
        <v>12.887714285714287</v>
      </c>
    </row>
    <row r="56" spans="1:3" x14ac:dyDescent="0.25">
      <c r="A56" t="str">
        <f>Data!D56</f>
        <v>Marie Antoinette (Caster)</v>
      </c>
      <c r="B56">
        <f>Data!Z56</f>
        <v>31.28</v>
      </c>
      <c r="C56">
        <f>Data!AE56</f>
        <v>14.206714285714284</v>
      </c>
    </row>
    <row r="57" spans="1:3" x14ac:dyDescent="0.25">
      <c r="A57" t="str">
        <f>Data!D57</f>
        <v>Karna</v>
      </c>
      <c r="B57">
        <f>Data!Z57</f>
        <v>28.934666666666669</v>
      </c>
      <c r="C57">
        <f>Data!AE57</f>
        <v>15.190000000000001</v>
      </c>
    </row>
    <row r="58" spans="1:3" x14ac:dyDescent="0.25">
      <c r="A58" t="str">
        <f>Data!D58</f>
        <v>Arjuna</v>
      </c>
      <c r="B58">
        <f>Data!Z58</f>
        <v>31.825000000000006</v>
      </c>
      <c r="C58">
        <f>Data!AE58</f>
        <v>13.516999999999999</v>
      </c>
    </row>
    <row r="59" spans="1:3" x14ac:dyDescent="0.25">
      <c r="A59" t="str">
        <f>Data!D59</f>
        <v>Nikola Tesla</v>
      </c>
      <c r="B59">
        <f>Data!Z59</f>
        <v>41.610833333333339</v>
      </c>
      <c r="C59">
        <f>Data!AE59</f>
        <v>8.3776666666666664</v>
      </c>
    </row>
    <row r="60" spans="1:3" x14ac:dyDescent="0.25">
      <c r="A60" t="str">
        <f>Data!D60</f>
        <v>Hijikata Toshizou</v>
      </c>
      <c r="B60">
        <f>Data!Z60</f>
        <v>32.400000000000006</v>
      </c>
      <c r="C60">
        <f>Data!AE60</f>
        <v>12.93</v>
      </c>
    </row>
    <row r="61" spans="1:3" x14ac:dyDescent="0.25">
      <c r="A61" t="str">
        <f>Data!D61</f>
        <v>King Hassan</v>
      </c>
      <c r="B61">
        <f>Data!Z61</f>
        <v>32</v>
      </c>
      <c r="C61">
        <f>Data!AE61</f>
        <v>13.092500000000001</v>
      </c>
    </row>
    <row r="62" spans="1:3" x14ac:dyDescent="0.25">
      <c r="A62" t="str">
        <f>Data!D62</f>
        <v>Zhuge Liang (Lord El-Melloi II)</v>
      </c>
      <c r="B62">
        <f>Data!Z62</f>
        <v>48.447333333333333</v>
      </c>
      <c r="C62">
        <f>Data!AE62</f>
        <v>4.5980000000000008</v>
      </c>
    </row>
    <row r="63" spans="1:3" x14ac:dyDescent="0.25">
      <c r="A63" t="str">
        <f>Data!D63</f>
        <v>Suzuka Gozen</v>
      </c>
      <c r="B63">
        <f>Data!Z63</f>
        <v>35.043533333333336</v>
      </c>
      <c r="C63">
        <f>Data!AE63</f>
        <v>11.214</v>
      </c>
    </row>
    <row r="64" spans="1:3" x14ac:dyDescent="0.25">
      <c r="A64" t="str">
        <f>Data!D64</f>
        <v>Tamamo no Mae</v>
      </c>
      <c r="B64">
        <f>Data!Z64</f>
        <v>36.896000000000001</v>
      </c>
      <c r="C64">
        <f>Data!AE64</f>
        <v>9.9400000000000013</v>
      </c>
    </row>
    <row r="65" spans="1:3" x14ac:dyDescent="0.25">
      <c r="A65" t="str">
        <f>Data!D65</f>
        <v>Hessian Lobo</v>
      </c>
      <c r="B65">
        <f>Data!Z65</f>
        <v>34.31</v>
      </c>
      <c r="C65">
        <f>Data!AE65</f>
        <v>11.219999999999999</v>
      </c>
    </row>
    <row r="66" spans="1:3" x14ac:dyDescent="0.25">
      <c r="A66" t="str">
        <f>Data!D66</f>
        <v>Nursery Rhyme</v>
      </c>
      <c r="B66">
        <f>Data!Z66</f>
        <v>40.173666666666662</v>
      </c>
      <c r="C66">
        <f>Data!AE66</f>
        <v>8.0540000000000003</v>
      </c>
    </row>
    <row r="67" spans="1:3" x14ac:dyDescent="0.25">
      <c r="A67" t="str">
        <f>Data!D67</f>
        <v>Mashu Kyrielight</v>
      </c>
      <c r="B67">
        <f>Data!Z67</f>
        <v>39.229142857142854</v>
      </c>
      <c r="C67">
        <f>Data!AE67</f>
        <v>8.4480000000000004</v>
      </c>
    </row>
    <row r="68" spans="1:3" x14ac:dyDescent="0.25">
      <c r="A68" t="str">
        <f>Data!D68</f>
        <v>Quetzalcoatl</v>
      </c>
      <c r="B68">
        <f>Data!Z68</f>
        <v>37.436</v>
      </c>
      <c r="C68">
        <f>Data!AE68</f>
        <v>9.1537142857142868</v>
      </c>
    </row>
    <row r="69" spans="1:3" x14ac:dyDescent="0.25">
      <c r="A69" t="str">
        <f>Data!D69</f>
        <v>Jeanne d'Arc (Alter) (Santa Lily)</v>
      </c>
      <c r="B69">
        <f>Data!Z69</f>
        <v>28.12</v>
      </c>
      <c r="C69">
        <f>Data!AE69</f>
        <v>13.638499999999999</v>
      </c>
    </row>
    <row r="70" spans="1:3" x14ac:dyDescent="0.25">
      <c r="A70" t="str">
        <f>Data!D70</f>
        <v>Illyasviel von Einzbern</v>
      </c>
      <c r="B70">
        <f>Data!Z70</f>
        <v>35.345600000000005</v>
      </c>
      <c r="C70">
        <f>Data!AE70</f>
        <v>9.8979999999999979</v>
      </c>
    </row>
    <row r="71" spans="1:3" x14ac:dyDescent="0.25">
      <c r="A71" t="str">
        <f>Data!D71</f>
        <v>Brynhildr</v>
      </c>
      <c r="B71">
        <f>Data!Z71</f>
        <v>30.923000000000009</v>
      </c>
      <c r="C71">
        <f>Data!AE71</f>
        <v>12.115</v>
      </c>
    </row>
    <row r="72" spans="1:3" x14ac:dyDescent="0.25">
      <c r="A72" t="str">
        <f>Data!D72</f>
        <v>Billy The Kid</v>
      </c>
      <c r="B72">
        <f>Data!Z72</f>
        <v>34.888533333333335</v>
      </c>
      <c r="C72">
        <f>Data!AE72</f>
        <v>10.084000000000001</v>
      </c>
    </row>
    <row r="73" spans="1:3" x14ac:dyDescent="0.25">
      <c r="A73" t="str">
        <f>Data!D73</f>
        <v>Mephistopheles</v>
      </c>
      <c r="B73">
        <f>Data!Z73</f>
        <v>33.120900000000006</v>
      </c>
      <c r="C73">
        <f>Data!AE73</f>
        <v>10.940000000000001</v>
      </c>
    </row>
    <row r="74" spans="1:3" x14ac:dyDescent="0.25">
      <c r="A74" t="str">
        <f>Data!D74</f>
        <v>Angra Mainyu</v>
      </c>
      <c r="B74">
        <f>Data!Z74</f>
        <v>32.375500000000002</v>
      </c>
      <c r="C74">
        <f>Data!AE74</f>
        <v>11.212500000000002</v>
      </c>
    </row>
    <row r="75" spans="1:3" x14ac:dyDescent="0.25">
      <c r="A75" t="str">
        <f>Data!D75</f>
        <v>Scathach</v>
      </c>
      <c r="B75">
        <f>Data!Z75</f>
        <v>27.69</v>
      </c>
      <c r="C75">
        <f>Data!AE75</f>
        <v>13.551333333333332</v>
      </c>
    </row>
    <row r="76" spans="1:3" x14ac:dyDescent="0.25">
      <c r="A76" t="str">
        <f>Data!D76</f>
        <v>EMIYA</v>
      </c>
      <c r="B76">
        <f>Data!Z76</f>
        <v>30.079800000000006</v>
      </c>
      <c r="C76">
        <f>Data!AE76</f>
        <v>12.318000000000003</v>
      </c>
    </row>
    <row r="77" spans="1:3" x14ac:dyDescent="0.25">
      <c r="A77" t="str">
        <f>Data!D77</f>
        <v>Nero Claudius (Bride)</v>
      </c>
      <c r="B77">
        <f>Data!Z77</f>
        <v>31.435699999999997</v>
      </c>
      <c r="C77">
        <f>Data!AE77</f>
        <v>11.539666666666665</v>
      </c>
    </row>
    <row r="78" spans="1:3" x14ac:dyDescent="0.25">
      <c r="A78" t="str">
        <f>Data!D78</f>
        <v>Ramesse II</v>
      </c>
      <c r="B78">
        <f>Data!Z78</f>
        <v>31.845083333333331</v>
      </c>
      <c r="C78">
        <f>Data!AE78</f>
        <v>11.285000000000002</v>
      </c>
    </row>
    <row r="79" spans="1:3" x14ac:dyDescent="0.25">
      <c r="A79" t="str">
        <f>Data!D79</f>
        <v>Charles-Henri Sanson</v>
      </c>
      <c r="B79">
        <f>Data!Z79</f>
        <v>28.62</v>
      </c>
      <c r="C79">
        <f>Data!AE79</f>
        <v>12.342000000000001</v>
      </c>
    </row>
    <row r="80" spans="1:3" x14ac:dyDescent="0.25">
      <c r="A80" t="str">
        <f>Data!D80</f>
        <v>Jeanne d'Arc (Alter)</v>
      </c>
      <c r="B80">
        <f>Data!Z80</f>
        <v>35.125</v>
      </c>
      <c r="C80">
        <f>Data!AE80</f>
        <v>9</v>
      </c>
    </row>
    <row r="81" spans="1:3" x14ac:dyDescent="0.25">
      <c r="A81" t="str">
        <f>Data!D81</f>
        <v>Cu Chulainn (Caster)</v>
      </c>
      <c r="B81">
        <f>Data!Z81</f>
        <v>43.728000000000002</v>
      </c>
      <c r="C81">
        <f>Data!AE81</f>
        <v>4.6039999999999992</v>
      </c>
    </row>
    <row r="82" spans="1:3" x14ac:dyDescent="0.25">
      <c r="A82" t="str">
        <f>Data!D82</f>
        <v>Nightingale</v>
      </c>
      <c r="B82">
        <f>Data!Z82</f>
        <v>30.03</v>
      </c>
      <c r="C82">
        <f>Data!AE82</f>
        <v>11.226000000000001</v>
      </c>
    </row>
    <row r="83" spans="1:3" x14ac:dyDescent="0.25">
      <c r="A83" t="str">
        <f>Data!D83</f>
        <v>Ishtar</v>
      </c>
      <c r="B83">
        <f>Data!Z83</f>
        <v>33.533333333333331</v>
      </c>
      <c r="C83">
        <f>Data!AE83</f>
        <v>9.42</v>
      </c>
    </row>
    <row r="84" spans="1:3" x14ac:dyDescent="0.25">
      <c r="A84" t="str">
        <f>Data!D84</f>
        <v>Gaius Julius Caesar</v>
      </c>
      <c r="B84">
        <f>Data!Z84</f>
        <v>25.828000000000003</v>
      </c>
      <c r="C84">
        <f>Data!AE84</f>
        <v>13.116000000000001</v>
      </c>
    </row>
    <row r="85" spans="1:3" x14ac:dyDescent="0.25">
      <c r="A85" t="str">
        <f>Data!D85</f>
        <v>Ushiwakamaru</v>
      </c>
      <c r="B85">
        <f>Data!Z85</f>
        <v>31.858704000000003</v>
      </c>
      <c r="C85">
        <f>Data!AE85</f>
        <v>10.041000000000002</v>
      </c>
    </row>
    <row r="86" spans="1:3" x14ac:dyDescent="0.25">
      <c r="A86" t="str">
        <f>Data!D86</f>
        <v>Medusa (Lancer)</v>
      </c>
      <c r="B86">
        <f>Data!Z86</f>
        <v>26.400000000000002</v>
      </c>
      <c r="C86">
        <f>Data!AE86</f>
        <v>12.780000000000001</v>
      </c>
    </row>
    <row r="87" spans="1:3" x14ac:dyDescent="0.25">
      <c r="A87" t="str">
        <f>Data!D87</f>
        <v>William Shakespeare</v>
      </c>
      <c r="B87">
        <f>Data!Z87</f>
        <v>40.396233333333342</v>
      </c>
      <c r="C87">
        <f>Data!AE87</f>
        <v>5.61</v>
      </c>
    </row>
    <row r="88" spans="1:3" x14ac:dyDescent="0.25">
      <c r="A88" t="str">
        <f>Data!D88</f>
        <v>Kid Gil</v>
      </c>
      <c r="B88">
        <f>Data!Z88</f>
        <v>33.712499999999999</v>
      </c>
      <c r="C88">
        <f>Data!AE88</f>
        <v>8.9850000000000012</v>
      </c>
    </row>
    <row r="89" spans="1:3" x14ac:dyDescent="0.25">
      <c r="A89" t="str">
        <f>Data!D89</f>
        <v>Arthur Pendragon (Prototype)</v>
      </c>
      <c r="B89">
        <f>Data!Z89</f>
        <v>30.7624</v>
      </c>
      <c r="C89">
        <f>Data!AE89</f>
        <v>10.242000000000001</v>
      </c>
    </row>
    <row r="90" spans="1:3" x14ac:dyDescent="0.25">
      <c r="A90" t="str">
        <f>Data!D90</f>
        <v>Li Shuwen (Lancer)</v>
      </c>
      <c r="B90">
        <f>Data!Z90</f>
        <v>26.650000000000002</v>
      </c>
      <c r="C90">
        <f>Data!AE90</f>
        <v>12.136000000000001</v>
      </c>
    </row>
    <row r="91" spans="1:3" x14ac:dyDescent="0.25">
      <c r="A91" t="str">
        <f>Data!D91</f>
        <v>Medusa</v>
      </c>
      <c r="B91">
        <f>Data!Z91</f>
        <v>32.16455333333333</v>
      </c>
      <c r="C91">
        <f>Data!AE91</f>
        <v>9.1120000000000001</v>
      </c>
    </row>
    <row r="92" spans="1:3" x14ac:dyDescent="0.25">
      <c r="A92" t="str">
        <f>Data!D92</f>
        <v>James Moriarty</v>
      </c>
      <c r="B92">
        <f>Data!Z92</f>
        <v>29.83</v>
      </c>
      <c r="C92">
        <f>Data!AE92</f>
        <v>10.250000000000002</v>
      </c>
    </row>
    <row r="93" spans="1:3" x14ac:dyDescent="0.25">
      <c r="A93" t="str">
        <f>Data!D93</f>
        <v>Diarmuid Ua Duibhne</v>
      </c>
      <c r="B93">
        <f>Data!Z93</f>
        <v>26.86</v>
      </c>
      <c r="C93">
        <f>Data!AE93</f>
        <v>11.73</v>
      </c>
    </row>
    <row r="94" spans="1:3" x14ac:dyDescent="0.25">
      <c r="A94" t="str">
        <f>Data!D94</f>
        <v>Jeanne d'Arc</v>
      </c>
      <c r="B94">
        <f>Data!Z94</f>
        <v>29.64</v>
      </c>
      <c r="C94">
        <f>Data!AE94</f>
        <v>9.9589999999999996</v>
      </c>
    </row>
    <row r="95" spans="1:3" x14ac:dyDescent="0.25">
      <c r="A95" t="str">
        <f>Data!D95</f>
        <v>Leonidas</v>
      </c>
      <c r="B95">
        <f>Data!Z95</f>
        <v>32.634999999999998</v>
      </c>
      <c r="C95">
        <f>Data!AE95</f>
        <v>8.0890000000000004</v>
      </c>
    </row>
    <row r="96" spans="1:3" x14ac:dyDescent="0.25">
      <c r="A96" t="str">
        <f>Data!D96</f>
        <v>Ryougi Shiki (Saber)</v>
      </c>
      <c r="B96">
        <f>Data!Z96</f>
        <v>30.979199999999999</v>
      </c>
      <c r="C96">
        <f>Data!AE96</f>
        <v>8.82</v>
      </c>
    </row>
    <row r="97" spans="1:3" x14ac:dyDescent="0.25">
      <c r="A97" t="str">
        <f>Data!D97</f>
        <v>Gorgon</v>
      </c>
      <c r="B97">
        <f>Data!Z97</f>
        <v>29.145</v>
      </c>
      <c r="C97">
        <f>Data!AE97</f>
        <v>9.7399999999999984</v>
      </c>
    </row>
    <row r="98" spans="1:3" x14ac:dyDescent="0.25">
      <c r="A98" t="str">
        <f>Data!D98</f>
        <v>Arash</v>
      </c>
      <c r="B98">
        <f>Data!Z98</f>
        <v>31.46</v>
      </c>
      <c r="C98">
        <f>Data!AE98</f>
        <v>8.52</v>
      </c>
    </row>
    <row r="99" spans="1:3" x14ac:dyDescent="0.25">
      <c r="A99" t="str">
        <f>Data!D99</f>
        <v>Astolfo</v>
      </c>
      <c r="B99">
        <f>Data!Z99</f>
        <v>18.473400000000002</v>
      </c>
      <c r="C99">
        <f>Data!AE99</f>
        <v>14.952375000000004</v>
      </c>
    </row>
    <row r="100" spans="1:3" x14ac:dyDescent="0.25">
      <c r="A100" t="str">
        <f>Data!D100</f>
        <v>Anne Bonny &amp; Mary Read</v>
      </c>
      <c r="B100">
        <f>Data!Z100</f>
        <v>27.720000000000002</v>
      </c>
      <c r="C100">
        <f>Data!AE100</f>
        <v>10.219000000000001</v>
      </c>
    </row>
    <row r="101" spans="1:3" x14ac:dyDescent="0.25">
      <c r="A101" t="str">
        <f>Data!D101</f>
        <v>Bedivere</v>
      </c>
      <c r="B101">
        <f>Data!Z101</f>
        <v>31.196000000000002</v>
      </c>
      <c r="C101">
        <f>Data!AE101</f>
        <v>8.4359999999999999</v>
      </c>
    </row>
    <row r="102" spans="1:3" x14ac:dyDescent="0.25">
      <c r="A102" t="str">
        <f>Data!D102</f>
        <v>Orion</v>
      </c>
      <c r="B102">
        <f>Data!Z102</f>
        <v>27</v>
      </c>
      <c r="C102">
        <f>Data!AE102</f>
        <v>10.47</v>
      </c>
    </row>
    <row r="103" spans="1:3" x14ac:dyDescent="0.25">
      <c r="A103" t="str">
        <f>Data!D103</f>
        <v>Alexander</v>
      </c>
      <c r="B103">
        <f>Data!Z103</f>
        <v>29.566799999999997</v>
      </c>
      <c r="C103">
        <f>Data!AE103</f>
        <v>9.1560000000000006</v>
      </c>
    </row>
    <row r="104" spans="1:3" x14ac:dyDescent="0.25">
      <c r="A104" t="str">
        <f>Data!D104</f>
        <v>Irisviel (Dress of Heaven)</v>
      </c>
      <c r="B104">
        <f>Data!Z104</f>
        <v>29.599919999999997</v>
      </c>
      <c r="C104">
        <f>Data!AE104</f>
        <v>8.9700000000000006</v>
      </c>
    </row>
    <row r="105" spans="1:3" x14ac:dyDescent="0.25">
      <c r="A105" t="str">
        <f>Data!D105</f>
        <v>Boudica</v>
      </c>
      <c r="B105">
        <f>Data!Z105</f>
        <v>30.396000000000004</v>
      </c>
      <c r="C105">
        <f>Data!AE105</f>
        <v>8.4710000000000019</v>
      </c>
    </row>
    <row r="106" spans="1:3" x14ac:dyDescent="0.25">
      <c r="A106" t="str">
        <f>Data!D106</f>
        <v>Sessyoin Kiara</v>
      </c>
      <c r="B106">
        <f>Data!Z106</f>
        <v>31.961607142857147</v>
      </c>
      <c r="C106">
        <f>Data!AE106</f>
        <v>7.5000000000000018</v>
      </c>
    </row>
    <row r="107" spans="1:3" x14ac:dyDescent="0.25">
      <c r="A107" t="str">
        <f>Data!D107</f>
        <v>Miyamoto Musashi</v>
      </c>
      <c r="B107">
        <f>Data!Z107</f>
        <v>26.099999999999998</v>
      </c>
      <c r="C107">
        <f>Data!AE107</f>
        <v>10.29</v>
      </c>
    </row>
    <row r="108" spans="1:3" x14ac:dyDescent="0.25">
      <c r="A108" t="str">
        <f>Data!D108</f>
        <v>Gilles de Rais</v>
      </c>
      <c r="B108">
        <f>Data!Z108</f>
        <v>37.256399999999999</v>
      </c>
      <c r="C108">
        <f>Data!AE108</f>
        <v>4.5980000000000008</v>
      </c>
    </row>
    <row r="109" spans="1:3" x14ac:dyDescent="0.25">
      <c r="A109" t="str">
        <f>Data!D109</f>
        <v>Atalanta</v>
      </c>
      <c r="B109">
        <f>Data!Z109</f>
        <v>22.9375</v>
      </c>
      <c r="C109">
        <f>Data!AE109</f>
        <v>11.810000000000002</v>
      </c>
    </row>
    <row r="110" spans="1:3" x14ac:dyDescent="0.25">
      <c r="A110" t="str">
        <f>Data!D110</f>
        <v>Saint Martha</v>
      </c>
      <c r="B110">
        <f>Data!Z110</f>
        <v>36.095100000000002</v>
      </c>
      <c r="C110">
        <f>Data!AE110</f>
        <v>4.7890000000000006</v>
      </c>
    </row>
    <row r="111" spans="1:3" x14ac:dyDescent="0.25">
      <c r="A111" t="str">
        <f>Data!D111</f>
        <v>Cu Chulainn (Alter)</v>
      </c>
      <c r="B111">
        <f>Data!Z111</f>
        <v>24.494999999999997</v>
      </c>
      <c r="C111">
        <f>Data!AE111</f>
        <v>10.647</v>
      </c>
    </row>
    <row r="112" spans="1:3" x14ac:dyDescent="0.25">
      <c r="A112" t="str">
        <f>Data!D112</f>
        <v>Elizabeth Bathory (Brave)</v>
      </c>
      <c r="B112">
        <f>Data!Z112</f>
        <v>27.227750000000007</v>
      </c>
      <c r="C112">
        <f>Data!AE112</f>
        <v>9.1120000000000019</v>
      </c>
    </row>
    <row r="113" spans="1:3" x14ac:dyDescent="0.25">
      <c r="A113" t="str">
        <f>Data!D113</f>
        <v>Paracelsus Van Hohenheim</v>
      </c>
      <c r="B113">
        <f>Data!Z113</f>
        <v>34.207857142857144</v>
      </c>
      <c r="C113">
        <f>Data!AE113</f>
        <v>5.5220000000000002</v>
      </c>
    </row>
    <row r="114" spans="1:3" x14ac:dyDescent="0.25">
      <c r="A114" t="str">
        <f>Data!D114</f>
        <v>Artoria Pendragon (Santa Alter)</v>
      </c>
      <c r="B114">
        <f>Data!Z114</f>
        <v>25.491</v>
      </c>
      <c r="C114">
        <f>Data!AE114</f>
        <v>9.9390000000000001</v>
      </c>
    </row>
    <row r="115" spans="1:3" x14ac:dyDescent="0.25">
      <c r="A115" t="str">
        <f>Data!D115</f>
        <v>Anne Bonny &amp; Mary Read (Archer)</v>
      </c>
      <c r="B115">
        <f>Data!Z115</f>
        <v>26.774999999999999</v>
      </c>
      <c r="C115">
        <f>Data!AE115</f>
        <v>9.229000000000001</v>
      </c>
    </row>
    <row r="116" spans="1:3" x14ac:dyDescent="0.25">
      <c r="A116" t="str">
        <f>Data!D116</f>
        <v>Saint George</v>
      </c>
      <c r="B116">
        <f>Data!Z116</f>
        <v>28.457999999999998</v>
      </c>
      <c r="C116">
        <f>Data!AE116</f>
        <v>8.3670000000000009</v>
      </c>
    </row>
    <row r="117" spans="1:3" x14ac:dyDescent="0.25">
      <c r="A117" t="str">
        <f>Data!D117</f>
        <v>Medb</v>
      </c>
      <c r="B117">
        <f>Data!Z117</f>
        <v>30.560000000000002</v>
      </c>
      <c r="C117">
        <f>Data!AE117</f>
        <v>7.2</v>
      </c>
    </row>
    <row r="118" spans="1:3" x14ac:dyDescent="0.25">
      <c r="A118" t="str">
        <f>Data!D118</f>
        <v>Saint Martha (Ruler)</v>
      </c>
      <c r="B118">
        <f>Data!Z118</f>
        <v>27.42</v>
      </c>
      <c r="C118">
        <f>Data!AE118</f>
        <v>8.65</v>
      </c>
    </row>
    <row r="119" spans="1:3" x14ac:dyDescent="0.25">
      <c r="A119" t="str">
        <f>Data!D119</f>
        <v>Oda Nobunaga</v>
      </c>
      <c r="B119">
        <f>Data!Z119</f>
        <v>27.025499999999997</v>
      </c>
      <c r="C119">
        <f>Data!AE119</f>
        <v>8.822000000000001</v>
      </c>
    </row>
    <row r="120" spans="1:3" x14ac:dyDescent="0.25">
      <c r="A120" t="str">
        <f>Data!D120</f>
        <v>Henry Jekyll &amp; Hyde (Jekyll)</v>
      </c>
      <c r="B120">
        <f>Data!Z120</f>
        <v>24.150000000000002</v>
      </c>
      <c r="C120">
        <f>Data!AE120</f>
        <v>9.9480000000000004</v>
      </c>
    </row>
    <row r="121" spans="1:3" x14ac:dyDescent="0.25">
      <c r="A121" t="str">
        <f>Data!D121</f>
        <v>Iskandar</v>
      </c>
      <c r="B121">
        <f>Data!Z121</f>
        <v>27.515699999999995</v>
      </c>
      <c r="C121">
        <f>Data!AE121</f>
        <v>7.9960000000000013</v>
      </c>
    </row>
    <row r="122" spans="1:3" x14ac:dyDescent="0.25">
      <c r="A122" t="str">
        <f>Data!D122</f>
        <v>Artoria Pendragon (Lancer Alter)</v>
      </c>
      <c r="B122">
        <f>Data!Z122</f>
        <v>21.534000000000002</v>
      </c>
      <c r="C122">
        <f>Data!AE122</f>
        <v>10.915000000000001</v>
      </c>
    </row>
    <row r="123" spans="1:3" x14ac:dyDescent="0.25">
      <c r="A123" t="str">
        <f>Data!D123</f>
        <v>Musashibou Benkei</v>
      </c>
      <c r="B123">
        <f>Data!Z123</f>
        <v>26.07</v>
      </c>
      <c r="C123">
        <f>Data!AE123</f>
        <v>8.2210000000000001</v>
      </c>
    </row>
    <row r="124" spans="1:3" x14ac:dyDescent="0.25">
      <c r="A124" t="str">
        <f>Data!D124</f>
        <v>Hector</v>
      </c>
      <c r="B124">
        <f>Data!Z124</f>
        <v>25.3584</v>
      </c>
      <c r="C124">
        <f>Data!AE124</f>
        <v>8.4920000000000009</v>
      </c>
    </row>
    <row r="125" spans="1:3" x14ac:dyDescent="0.25">
      <c r="A125" t="str">
        <f>Data!D125</f>
        <v>Elizabeth Bathory</v>
      </c>
      <c r="B125">
        <f>Data!Z125</f>
        <v>26.092000000000002</v>
      </c>
      <c r="C125">
        <f>Data!AE125</f>
        <v>8.0440000000000005</v>
      </c>
    </row>
    <row r="126" spans="1:3" x14ac:dyDescent="0.25">
      <c r="A126" t="str">
        <f>Data!D126</f>
        <v>Passionlip</v>
      </c>
      <c r="B126">
        <f>Data!Z126</f>
        <v>22.715</v>
      </c>
      <c r="C126">
        <f>Data!AE126</f>
        <v>9.6900000000000013</v>
      </c>
    </row>
    <row r="127" spans="1:3" x14ac:dyDescent="0.25">
      <c r="A127" t="str">
        <f>Data!D127</f>
        <v>Attila</v>
      </c>
      <c r="B127">
        <f>Data!Z127</f>
        <v>24.612000000000002</v>
      </c>
      <c r="C127">
        <f>Data!AE127</f>
        <v>8.5680000000000014</v>
      </c>
    </row>
    <row r="128" spans="1:3" x14ac:dyDescent="0.25">
      <c r="A128" t="str">
        <f>Data!D128</f>
        <v>Artoria Pendragon (Lily)</v>
      </c>
      <c r="B128">
        <f>Data!Z128</f>
        <v>25.094799999999996</v>
      </c>
      <c r="C128">
        <f>Data!AE128</f>
        <v>8.2560000000000002</v>
      </c>
    </row>
    <row r="129" spans="1:3" x14ac:dyDescent="0.25">
      <c r="A129" t="str">
        <f>Data!D129</f>
        <v>Artoria Pendragon (Alter)</v>
      </c>
      <c r="B129">
        <f>Data!Z129</f>
        <v>24.939999999999998</v>
      </c>
      <c r="C129">
        <f>Data!AE129</f>
        <v>8.1219999999999999</v>
      </c>
    </row>
    <row r="130" spans="1:3" x14ac:dyDescent="0.25">
      <c r="A130" t="str">
        <f>Data!D130</f>
        <v>Cu Chulainn (Prototype)</v>
      </c>
      <c r="B130">
        <f>Data!Z130</f>
        <v>24.84</v>
      </c>
      <c r="C130">
        <f>Data!AE130</f>
        <v>8.0679999999999996</v>
      </c>
    </row>
    <row r="131" spans="1:3" x14ac:dyDescent="0.25">
      <c r="A131" t="str">
        <f>Data!D131</f>
        <v>Romulus</v>
      </c>
      <c r="B131">
        <f>Data!Z131</f>
        <v>24.610000000000003</v>
      </c>
      <c r="C131">
        <f>Data!AE131</f>
        <v>8.080857142857143</v>
      </c>
    </row>
    <row r="132" spans="1:3" x14ac:dyDescent="0.25">
      <c r="A132" t="str">
        <f>Data!D132</f>
        <v>Cu Chulainn</v>
      </c>
      <c r="B132">
        <f>Data!Z132</f>
        <v>24.610000000000003</v>
      </c>
      <c r="C132">
        <f>Data!AE132</f>
        <v>8.0679999999999996</v>
      </c>
    </row>
    <row r="133" spans="1:3" x14ac:dyDescent="0.25">
      <c r="A133" t="str">
        <f>Data!D133</f>
        <v>Geronimo</v>
      </c>
      <c r="B133">
        <f>Data!Z133</f>
        <v>29.285999999999998</v>
      </c>
      <c r="C133">
        <f>Data!AE133</f>
        <v>5.6700000000000008</v>
      </c>
    </row>
    <row r="134" spans="1:3" x14ac:dyDescent="0.25">
      <c r="A134" t="str">
        <f>Data!D134</f>
        <v>Minamoto no Yorimitsu</v>
      </c>
      <c r="B134">
        <f>Data!Z134</f>
        <v>24.837700000000005</v>
      </c>
      <c r="C134">
        <f>Data!AE134</f>
        <v>7.9170000000000007</v>
      </c>
    </row>
    <row r="135" spans="1:3" x14ac:dyDescent="0.25">
      <c r="A135" t="str">
        <f>Data!D135</f>
        <v>Ibaraki Douji</v>
      </c>
      <c r="B135">
        <f>Data!Z135</f>
        <v>24.720000000000002</v>
      </c>
      <c r="C135">
        <f>Data!AE135</f>
        <v>7.9269999999999996</v>
      </c>
    </row>
    <row r="136" spans="1:3" x14ac:dyDescent="0.25">
      <c r="A136" t="str">
        <f>Data!D136</f>
        <v>David</v>
      </c>
      <c r="B136">
        <f>Data!Z136</f>
        <v>29.64</v>
      </c>
      <c r="C136">
        <f>Data!AE136</f>
        <v>5.27</v>
      </c>
    </row>
    <row r="137" spans="1:3" x14ac:dyDescent="0.25">
      <c r="A137" t="str">
        <f>Data!D137</f>
        <v>Charles Babbage</v>
      </c>
      <c r="B137">
        <f>Data!Z137</f>
        <v>29.256499999999999</v>
      </c>
      <c r="C137">
        <f>Data!AE137</f>
        <v>5.3640000000000008</v>
      </c>
    </row>
    <row r="138" spans="1:3" x14ac:dyDescent="0.25">
      <c r="A138" t="str">
        <f>Data!D138</f>
        <v>Mordred</v>
      </c>
      <c r="B138">
        <f>Data!Z138</f>
        <v>27.534400000000002</v>
      </c>
      <c r="C138">
        <f>Data!AE138</f>
        <v>6.1379999999999999</v>
      </c>
    </row>
    <row r="139" spans="1:3" x14ac:dyDescent="0.25">
      <c r="A139" t="str">
        <f>Data!D139</f>
        <v>Gawain</v>
      </c>
      <c r="B139">
        <f>Data!Z139</f>
        <v>25.266933333333331</v>
      </c>
      <c r="C139">
        <f>Data!AE139</f>
        <v>7.0516666666666685</v>
      </c>
    </row>
    <row r="140" spans="1:3" x14ac:dyDescent="0.25">
      <c r="A140" t="str">
        <f>Data!D140</f>
        <v>Gilles de Rais (Saber)</v>
      </c>
      <c r="B140">
        <f>Data!Z140</f>
        <v>27.895580000000002</v>
      </c>
      <c r="C140">
        <f>Data!AE140</f>
        <v>5.6560000000000006</v>
      </c>
    </row>
    <row r="141" spans="1:3" x14ac:dyDescent="0.25">
      <c r="A141" t="str">
        <f>Data!D141</f>
        <v>Fionn mac Cumhaill</v>
      </c>
      <c r="B141">
        <f>Data!Z141</f>
        <v>18.942000000000004</v>
      </c>
      <c r="C141">
        <f>Data!AE141</f>
        <v>9.9670000000000005</v>
      </c>
    </row>
    <row r="142" spans="1:3" x14ac:dyDescent="0.25">
      <c r="A142" t="str">
        <f>Data!D142</f>
        <v>Siegfried</v>
      </c>
      <c r="B142">
        <f>Data!Z142</f>
        <v>27.574674999999996</v>
      </c>
      <c r="C142">
        <f>Data!AE142</f>
        <v>5.5380000000000003</v>
      </c>
    </row>
    <row r="143" spans="1:3" x14ac:dyDescent="0.25">
      <c r="A143" t="str">
        <f>Data!D143</f>
        <v>Marie Antoinette</v>
      </c>
      <c r="B143">
        <f>Data!Z143</f>
        <v>22.66</v>
      </c>
      <c r="C143">
        <f>Data!AE143</f>
        <v>7.9520000000000017</v>
      </c>
    </row>
    <row r="144" spans="1:3" x14ac:dyDescent="0.25">
      <c r="A144" t="str">
        <f>Data!D144</f>
        <v>Henry Jekyll &amp; Hyde (Hyde)</v>
      </c>
      <c r="B144">
        <f>Data!Z144</f>
        <v>23.46</v>
      </c>
      <c r="C144">
        <f>Data!AE144</f>
        <v>7.5330000000000004</v>
      </c>
    </row>
    <row r="145" spans="1:3" x14ac:dyDescent="0.25">
      <c r="A145" t="str">
        <f>Data!D145</f>
        <v>Sakata Kintoki</v>
      </c>
      <c r="B145">
        <f>Data!Z145</f>
        <v>27.903333333333336</v>
      </c>
      <c r="C145">
        <f>Data!AE145</f>
        <v>4.8090000000000002</v>
      </c>
    </row>
    <row r="146" spans="1:3" x14ac:dyDescent="0.25">
      <c r="A146" t="str">
        <f>Data!D146</f>
        <v>Beowulf</v>
      </c>
      <c r="B146">
        <f>Data!Z146</f>
        <v>18.36</v>
      </c>
      <c r="C146">
        <f>Data!AE146</f>
        <v>9.3954999999999984</v>
      </c>
    </row>
    <row r="147" spans="1:3" x14ac:dyDescent="0.25">
      <c r="A147" t="str">
        <f>Data!D147</f>
        <v>Kiyohime</v>
      </c>
      <c r="B147">
        <f>Data!Z147</f>
        <v>27.404999999999998</v>
      </c>
      <c r="C147">
        <f>Data!AE147</f>
        <v>4.625</v>
      </c>
    </row>
    <row r="148" spans="1:3" x14ac:dyDescent="0.25">
      <c r="A148" t="str">
        <f>Data!D148</f>
        <v>Artoria Pendragon</v>
      </c>
      <c r="B148">
        <f>Data!Z148</f>
        <v>25.146399999999996</v>
      </c>
      <c r="C148">
        <f>Data!AE148</f>
        <v>5.5380000000000003</v>
      </c>
    </row>
    <row r="149" spans="1:3" x14ac:dyDescent="0.25">
      <c r="A149" t="str">
        <f>Data!D149</f>
        <v>Rama</v>
      </c>
      <c r="B149">
        <f>Data!Z149</f>
        <v>24.6372</v>
      </c>
      <c r="C149">
        <f>Data!AE149</f>
        <v>5.6020000000000003</v>
      </c>
    </row>
    <row r="150" spans="1:3" x14ac:dyDescent="0.25">
      <c r="A150" t="str">
        <f>Data!D150</f>
        <v>Nero Claudius</v>
      </c>
      <c r="B150">
        <f>Data!Z150</f>
        <v>24.561599999999999</v>
      </c>
      <c r="C150">
        <f>Data!AE150</f>
        <v>5.516</v>
      </c>
    </row>
    <row r="151" spans="1:3" x14ac:dyDescent="0.25">
      <c r="A151" t="str">
        <f>Data!D151</f>
        <v>Le Chevalier d'Eon</v>
      </c>
      <c r="B151">
        <f>Data!Z151</f>
        <v>24.269199999999998</v>
      </c>
      <c r="C151">
        <f>Data!AE151</f>
        <v>5.5080000000000009</v>
      </c>
    </row>
    <row r="152" spans="1:3" x14ac:dyDescent="0.25">
      <c r="A152" t="str">
        <f>Data!D152</f>
        <v>Tawara Touda</v>
      </c>
      <c r="B152">
        <f>Data!Z152</f>
        <v>22.799999999999997</v>
      </c>
      <c r="C152">
        <f>Data!AE152</f>
        <v>5.7249999999999996</v>
      </c>
    </row>
    <row r="153" spans="1:3" x14ac:dyDescent="0.25">
      <c r="A153" t="str">
        <f>Data!D153</f>
        <v>Edward Teach</v>
      </c>
      <c r="B153">
        <f>Data!Z153</f>
        <v>22.400000000000002</v>
      </c>
      <c r="C153">
        <f>Data!AE153</f>
        <v>5.78</v>
      </c>
    </row>
    <row r="154" spans="1:3" x14ac:dyDescent="0.25">
      <c r="A154" t="str">
        <f>Data!D154</f>
        <v>Spartacus</v>
      </c>
      <c r="B154">
        <f>Data!Z154</f>
        <v>23.475714285714286</v>
      </c>
      <c r="C154">
        <f>Data!AE154</f>
        <v>4.8770000000000007</v>
      </c>
    </row>
    <row r="155" spans="1:3" x14ac:dyDescent="0.25">
      <c r="A155" t="str">
        <f>Data!D155</f>
        <v>Tamamo Cat</v>
      </c>
      <c r="B155">
        <f>Data!Z155</f>
        <v>19.524999999999999</v>
      </c>
      <c r="C155">
        <f>Data!AE155</f>
        <v>6.3040000000000003</v>
      </c>
    </row>
    <row r="156" spans="1:3" x14ac:dyDescent="0.25">
      <c r="A156" t="str">
        <f>Data!D156</f>
        <v>Fergus Mac Roich</v>
      </c>
      <c r="B156">
        <f>Data!Z156</f>
        <v>20.971599999999999</v>
      </c>
      <c r="C156">
        <f>Data!AE156</f>
        <v>5.3580000000000005</v>
      </c>
    </row>
    <row r="157" spans="1:3" x14ac:dyDescent="0.25">
      <c r="A157" t="str">
        <f>Data!D157</f>
        <v>Heracles</v>
      </c>
      <c r="B157">
        <f>Data!Z157</f>
        <v>20.330000000000002</v>
      </c>
      <c r="C157">
        <f>Data!AE157</f>
        <v>4.8360000000000003</v>
      </c>
    </row>
    <row r="158" spans="1:3" x14ac:dyDescent="0.25">
      <c r="A158" t="str">
        <f>Data!D158</f>
        <v>Lu Bu</v>
      </c>
      <c r="B158">
        <f>Data!Z158</f>
        <v>19.760000000000002</v>
      </c>
      <c r="C158">
        <f>Data!AE158</f>
        <v>4.8494999999999999</v>
      </c>
    </row>
    <row r="159" spans="1:3" x14ac:dyDescent="0.25">
      <c r="A159" t="str">
        <f>Data!D159</f>
        <v>Vlad III</v>
      </c>
      <c r="B159">
        <f>Data!Z159</f>
        <v>19.5</v>
      </c>
      <c r="C159">
        <f>Data!AE159</f>
        <v>4.927999999999999</v>
      </c>
    </row>
    <row r="160" spans="1:3" x14ac:dyDescent="0.25">
      <c r="A160" t="str">
        <f>Data!D160</f>
        <v>Darius III</v>
      </c>
      <c r="B160">
        <f>Data!Z160</f>
        <v>18.902375000000003</v>
      </c>
      <c r="C160">
        <f>Data!AE160</f>
        <v>5.0860000000000003</v>
      </c>
    </row>
    <row r="161" spans="1:3" x14ac:dyDescent="0.25">
      <c r="A161" t="str">
        <f>Data!D161</f>
        <v>Eric Bloodaxe</v>
      </c>
      <c r="B161">
        <f>Data!Z161</f>
        <v>19.38</v>
      </c>
      <c r="C161">
        <f>Data!AE161</f>
        <v>4.8360000000000003</v>
      </c>
    </row>
    <row r="162" spans="1:3" x14ac:dyDescent="0.25">
      <c r="A162" t="str">
        <f>Data!D162</f>
        <v>Frankenstein</v>
      </c>
      <c r="B162">
        <f>Data!Z162</f>
        <v>18.459199999999999</v>
      </c>
      <c r="C162">
        <f>Data!AE162</f>
        <v>4.8109999999999999</v>
      </c>
    </row>
    <row r="163" spans="1:3" x14ac:dyDescent="0.25">
      <c r="A163" t="str">
        <f>Data!D163</f>
        <v>Caligula</v>
      </c>
      <c r="B163">
        <f>Data!Z163</f>
        <v>16.66</v>
      </c>
      <c r="C163">
        <f>Data!AE163</f>
        <v>5.1745000000000001</v>
      </c>
    </row>
    <row r="164" spans="1:3" x14ac:dyDescent="0.25">
      <c r="A164" t="str">
        <f>Data!D164</f>
        <v>Asterios</v>
      </c>
      <c r="B164">
        <f>Data!Z164</f>
        <v>16.66</v>
      </c>
      <c r="C164">
        <f>Data!AE164</f>
        <v>5.1050000000000004</v>
      </c>
    </row>
    <row r="165" spans="1:3" x14ac:dyDescent="0.25">
      <c r="A165" t="str">
        <f>Data!D165</f>
        <v>Lancelot</v>
      </c>
      <c r="B165">
        <f>Data!Z165</f>
        <v>10.7</v>
      </c>
      <c r="C165">
        <f>Data!AE165</f>
        <v>6.0869999999999997</v>
      </c>
    </row>
    <row r="166" spans="1:3" x14ac:dyDescent="0.25">
      <c r="A166">
        <f>Data!D166</f>
        <v>0</v>
      </c>
      <c r="B166">
        <f>Data!Z166</f>
        <v>0</v>
      </c>
      <c r="C166">
        <f>Data!AE166</f>
        <v>0</v>
      </c>
    </row>
    <row r="167" spans="1:3" x14ac:dyDescent="0.25">
      <c r="A167">
        <f>Data!D167</f>
        <v>0</v>
      </c>
      <c r="B167">
        <f>Data!Z167</f>
        <v>0</v>
      </c>
      <c r="C167">
        <f>Data!AE167</f>
        <v>0</v>
      </c>
    </row>
    <row r="168" spans="1:3" x14ac:dyDescent="0.25">
      <c r="A168">
        <f>Data!D168</f>
        <v>0</v>
      </c>
      <c r="B168">
        <f>Data!Z168</f>
        <v>0</v>
      </c>
      <c r="C168">
        <f>Data!AE168</f>
        <v>0</v>
      </c>
    </row>
    <row r="169" spans="1:3" x14ac:dyDescent="0.25">
      <c r="A169">
        <f>Data!D169</f>
        <v>0</v>
      </c>
      <c r="B169">
        <f>Data!Z169</f>
        <v>0</v>
      </c>
      <c r="C169">
        <f>Data!AE169</f>
        <v>0</v>
      </c>
    </row>
    <row r="170" spans="1:3" x14ac:dyDescent="0.25">
      <c r="A170">
        <f>Data!D170</f>
        <v>0</v>
      </c>
      <c r="B170">
        <f>Data!Z170</f>
        <v>0</v>
      </c>
      <c r="C170">
        <f>Data!AE170</f>
        <v>0</v>
      </c>
    </row>
    <row r="171" spans="1:3" x14ac:dyDescent="0.25">
      <c r="A171">
        <f>Data!D171</f>
        <v>0</v>
      </c>
      <c r="B171">
        <f>Data!Z171</f>
        <v>0</v>
      </c>
      <c r="C171">
        <f>Data!AE171</f>
        <v>0</v>
      </c>
    </row>
    <row r="172" spans="1:3" x14ac:dyDescent="0.25">
      <c r="A172">
        <f>Data!D172</f>
        <v>0</v>
      </c>
      <c r="B172">
        <f>Data!Z172</f>
        <v>0</v>
      </c>
      <c r="C172">
        <f>Data!AE172</f>
        <v>0</v>
      </c>
    </row>
    <row r="173" spans="1:3" x14ac:dyDescent="0.25">
      <c r="A173">
        <f>Data!D173</f>
        <v>0</v>
      </c>
      <c r="B173">
        <f>Data!Z173</f>
        <v>0</v>
      </c>
      <c r="C173">
        <f>Data!AE173</f>
        <v>0</v>
      </c>
    </row>
    <row r="174" spans="1:3" x14ac:dyDescent="0.25">
      <c r="A174">
        <f>Data!D174</f>
        <v>0</v>
      </c>
      <c r="B174">
        <f>Data!Z174</f>
        <v>0</v>
      </c>
      <c r="C174">
        <f>Data!AE174</f>
        <v>0</v>
      </c>
    </row>
    <row r="175" spans="1:3" x14ac:dyDescent="0.25">
      <c r="A175">
        <f>Data!D175</f>
        <v>0</v>
      </c>
      <c r="B175">
        <f>Data!Z175</f>
        <v>0</v>
      </c>
      <c r="C175">
        <f>Data!AE175</f>
        <v>0</v>
      </c>
    </row>
    <row r="176" spans="1:3" x14ac:dyDescent="0.25">
      <c r="A176">
        <f>Data!D176</f>
        <v>0</v>
      </c>
      <c r="B176">
        <f>Data!Z176</f>
        <v>0</v>
      </c>
      <c r="C176">
        <f>Data!AE176</f>
        <v>0</v>
      </c>
    </row>
    <row r="177" spans="1:3" x14ac:dyDescent="0.25">
      <c r="A177">
        <f>Data!D177</f>
        <v>0</v>
      </c>
      <c r="B177">
        <f>Data!Z177</f>
        <v>0</v>
      </c>
      <c r="C177">
        <f>Data!AE177</f>
        <v>0</v>
      </c>
    </row>
    <row r="178" spans="1:3" x14ac:dyDescent="0.25">
      <c r="A178">
        <f>Data!D178</f>
        <v>0</v>
      </c>
      <c r="B178">
        <f>Data!Z178</f>
        <v>0</v>
      </c>
      <c r="C178">
        <f>Data!AE178</f>
        <v>0</v>
      </c>
    </row>
    <row r="179" spans="1:3" x14ac:dyDescent="0.25">
      <c r="A179">
        <f>Data!D179</f>
        <v>0</v>
      </c>
      <c r="B179">
        <f>Data!Z179</f>
        <v>0</v>
      </c>
      <c r="C179">
        <f>Data!AE179</f>
        <v>0</v>
      </c>
    </row>
    <row r="180" spans="1:3" x14ac:dyDescent="0.25">
      <c r="A180">
        <f>Data!D180</f>
        <v>0</v>
      </c>
      <c r="B180">
        <f>Data!Z180</f>
        <v>0</v>
      </c>
      <c r="C180">
        <f>Data!AE180</f>
        <v>0</v>
      </c>
    </row>
    <row r="181" spans="1:3" x14ac:dyDescent="0.25">
      <c r="A181">
        <f>Data!D181</f>
        <v>0</v>
      </c>
      <c r="B181">
        <f>Data!Z181</f>
        <v>0</v>
      </c>
      <c r="C181">
        <f>Data!AE181</f>
        <v>0</v>
      </c>
    </row>
    <row r="182" spans="1:3" x14ac:dyDescent="0.25">
      <c r="A182">
        <f>Data!D182</f>
        <v>0</v>
      </c>
      <c r="B182">
        <f>Data!Z182</f>
        <v>0</v>
      </c>
      <c r="C182">
        <f>Data!AE182</f>
        <v>0</v>
      </c>
    </row>
    <row r="183" spans="1:3" x14ac:dyDescent="0.25">
      <c r="A183">
        <f>Data!D183</f>
        <v>0</v>
      </c>
      <c r="B183">
        <f>Data!Z183</f>
        <v>0</v>
      </c>
      <c r="C183">
        <f>Data!AE183</f>
        <v>0</v>
      </c>
    </row>
    <row r="184" spans="1:3" x14ac:dyDescent="0.25">
      <c r="A184">
        <f>Data!D184</f>
        <v>0</v>
      </c>
      <c r="B184">
        <f>Data!Z184</f>
        <v>0</v>
      </c>
      <c r="C184">
        <f>Data!AE184</f>
        <v>0</v>
      </c>
    </row>
    <row r="185" spans="1:3" x14ac:dyDescent="0.25">
      <c r="A185">
        <f>Data!D185</f>
        <v>0</v>
      </c>
      <c r="B185">
        <f>Data!Z185</f>
        <v>0</v>
      </c>
      <c r="C185">
        <f>Data!AE185</f>
        <v>0</v>
      </c>
    </row>
    <row r="186" spans="1:3" x14ac:dyDescent="0.25">
      <c r="A186">
        <f>Data!D186</f>
        <v>0</v>
      </c>
      <c r="B186">
        <f>Data!Z186</f>
        <v>0</v>
      </c>
      <c r="C186">
        <f>Data!AE186</f>
        <v>0</v>
      </c>
    </row>
    <row r="187" spans="1:3" x14ac:dyDescent="0.25">
      <c r="A187">
        <f>Data!D187</f>
        <v>0</v>
      </c>
      <c r="B187">
        <f>Data!Z187</f>
        <v>0</v>
      </c>
      <c r="C187">
        <f>Data!AE187</f>
        <v>0</v>
      </c>
    </row>
    <row r="188" spans="1:3" x14ac:dyDescent="0.25">
      <c r="A188">
        <f>Data!D188</f>
        <v>0</v>
      </c>
      <c r="B188">
        <f>Data!Z188</f>
        <v>0</v>
      </c>
      <c r="C188">
        <f>Data!AE188</f>
        <v>0</v>
      </c>
    </row>
    <row r="189" spans="1:3" x14ac:dyDescent="0.25">
      <c r="A189">
        <f>Data!D189</f>
        <v>0</v>
      </c>
      <c r="B189">
        <f>Data!Z189</f>
        <v>0</v>
      </c>
      <c r="C189">
        <f>Data!AE189</f>
        <v>0</v>
      </c>
    </row>
    <row r="190" spans="1:3" x14ac:dyDescent="0.25">
      <c r="A190">
        <f>Data!D190</f>
        <v>0</v>
      </c>
      <c r="B190">
        <f>Data!Z190</f>
        <v>0</v>
      </c>
      <c r="C190">
        <f>Data!AE190</f>
        <v>0</v>
      </c>
    </row>
    <row r="191" spans="1:3" x14ac:dyDescent="0.25">
      <c r="A191">
        <f>Data!D191</f>
        <v>0</v>
      </c>
      <c r="B191">
        <f>Data!Z191</f>
        <v>0</v>
      </c>
      <c r="C191">
        <f>Data!AE191</f>
        <v>0</v>
      </c>
    </row>
    <row r="192" spans="1:3" x14ac:dyDescent="0.25">
      <c r="A192">
        <f>Data!D192</f>
        <v>0</v>
      </c>
      <c r="B192">
        <f>Data!Z192</f>
        <v>0</v>
      </c>
      <c r="C192">
        <f>Data!AE192</f>
        <v>0</v>
      </c>
    </row>
    <row r="193" spans="1:3" x14ac:dyDescent="0.25">
      <c r="A193">
        <f>Data!D193</f>
        <v>0</v>
      </c>
      <c r="B193">
        <f>Data!Z193</f>
        <v>0</v>
      </c>
      <c r="C193">
        <f>Data!AE193</f>
        <v>0</v>
      </c>
    </row>
    <row r="194" spans="1:3" x14ac:dyDescent="0.25">
      <c r="A194">
        <f>Data!D194</f>
        <v>0</v>
      </c>
      <c r="B194">
        <f>Data!Z194</f>
        <v>0</v>
      </c>
      <c r="C194">
        <f>Data!AE194</f>
        <v>0</v>
      </c>
    </row>
    <row r="195" spans="1:3" x14ac:dyDescent="0.25">
      <c r="A195">
        <f>Data!D195</f>
        <v>0</v>
      </c>
      <c r="B195">
        <f>Data!Z195</f>
        <v>0</v>
      </c>
      <c r="C195">
        <f>Data!AE195</f>
        <v>0</v>
      </c>
    </row>
    <row r="196" spans="1:3" x14ac:dyDescent="0.25">
      <c r="A196">
        <f>Data!D196</f>
        <v>0</v>
      </c>
      <c r="B196">
        <f>Data!Z196</f>
        <v>0</v>
      </c>
      <c r="C196">
        <f>Data!AE196</f>
        <v>0</v>
      </c>
    </row>
    <row r="197" spans="1:3" x14ac:dyDescent="0.25">
      <c r="A197">
        <f>Data!D197</f>
        <v>0</v>
      </c>
      <c r="B197">
        <f>Data!Z197</f>
        <v>0</v>
      </c>
      <c r="C197">
        <f>Data!AE197</f>
        <v>0</v>
      </c>
    </row>
    <row r="198" spans="1:3" x14ac:dyDescent="0.25">
      <c r="A198">
        <f>Data!D198</f>
        <v>0</v>
      </c>
      <c r="B198">
        <f>Data!Z198</f>
        <v>0</v>
      </c>
      <c r="C198">
        <f>Data!AE198</f>
        <v>0</v>
      </c>
    </row>
    <row r="199" spans="1:3" x14ac:dyDescent="0.25">
      <c r="A199">
        <f>Data!D199</f>
        <v>0</v>
      </c>
      <c r="B199">
        <f>Data!Z199</f>
        <v>0</v>
      </c>
      <c r="C199">
        <f>Data!AE199</f>
        <v>0</v>
      </c>
    </row>
    <row r="200" spans="1:3" x14ac:dyDescent="0.25">
      <c r="A200">
        <f>Data!D200</f>
        <v>0</v>
      </c>
      <c r="B200">
        <f>Data!Z200</f>
        <v>0</v>
      </c>
      <c r="C200">
        <f>Data!AE200</f>
        <v>0</v>
      </c>
    </row>
  </sheetData>
  <hyperlinks>
    <hyperlink ref="E3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G3" sqref="G3:H14"/>
    </sheetView>
  </sheetViews>
  <sheetFormatPr defaultRowHeight="15" x14ac:dyDescent="0.25"/>
  <cols>
    <col min="1" max="1" width="48.42578125" style="17" customWidth="1"/>
    <col min="2" max="3" width="9.140625" style="17"/>
    <col min="4" max="4" width="48.140625" style="17" customWidth="1"/>
    <col min="5" max="6" width="9.140625" style="17"/>
    <col min="7" max="7" width="12.5703125" style="17" bestFit="1" customWidth="1"/>
    <col min="8" max="16384" width="9.140625" style="17"/>
  </cols>
  <sheetData>
    <row r="1" spans="1:8" ht="30" x14ac:dyDescent="0.25">
      <c r="A1" s="16" t="s">
        <v>16</v>
      </c>
    </row>
    <row r="2" spans="1:8" x14ac:dyDescent="0.25">
      <c r="A2" s="16" t="s">
        <v>261</v>
      </c>
      <c r="D2" s="17" t="s">
        <v>237</v>
      </c>
      <c r="E2" s="17">
        <f>MAX(Data!Z:Z)</f>
        <v>62.98207142857143</v>
      </c>
      <c r="G2" s="17" t="s">
        <v>262</v>
      </c>
    </row>
    <row r="3" spans="1:8" x14ac:dyDescent="0.25">
      <c r="A3" s="16" t="s">
        <v>14</v>
      </c>
      <c r="D3" s="17" t="s">
        <v>238</v>
      </c>
      <c r="E3" s="17">
        <f>MAX(Data!AE:AE)</f>
        <v>32.064999999999998</v>
      </c>
      <c r="G3" s="17" t="s">
        <v>27</v>
      </c>
      <c r="H3" s="17">
        <v>1</v>
      </c>
    </row>
    <row r="4" spans="1:8" x14ac:dyDescent="0.25">
      <c r="A4" s="16" t="s">
        <v>15</v>
      </c>
      <c r="G4" s="17" t="s">
        <v>4</v>
      </c>
      <c r="H4" s="17">
        <v>2</v>
      </c>
    </row>
    <row r="5" spans="1:8" x14ac:dyDescent="0.25">
      <c r="G5" s="17" t="s">
        <v>63</v>
      </c>
      <c r="H5" s="17">
        <v>3</v>
      </c>
    </row>
    <row r="6" spans="1:8" x14ac:dyDescent="0.25">
      <c r="A6" s="16" t="s">
        <v>18</v>
      </c>
      <c r="D6" s="16" t="s">
        <v>19</v>
      </c>
      <c r="G6" s="17" t="s">
        <v>91</v>
      </c>
      <c r="H6" s="17">
        <v>4</v>
      </c>
    </row>
    <row r="7" spans="1:8" x14ac:dyDescent="0.25">
      <c r="G7" s="17" t="s">
        <v>114</v>
      </c>
      <c r="H7" s="17">
        <v>5</v>
      </c>
    </row>
    <row r="8" spans="1:8" x14ac:dyDescent="0.25">
      <c r="A8" s="17" t="s">
        <v>13</v>
      </c>
      <c r="D8" s="17" t="s">
        <v>21</v>
      </c>
      <c r="G8" s="17" t="s">
        <v>133</v>
      </c>
      <c r="H8" s="17">
        <v>6</v>
      </c>
    </row>
    <row r="9" spans="1:8" x14ac:dyDescent="0.25">
      <c r="A9" s="17" t="s">
        <v>159</v>
      </c>
      <c r="B9" s="17">
        <f>1*1.5</f>
        <v>1.5</v>
      </c>
      <c r="D9" s="17" t="s">
        <v>240</v>
      </c>
      <c r="E9" s="17">
        <v>1.3</v>
      </c>
      <c r="G9" s="17" t="s">
        <v>164</v>
      </c>
      <c r="H9" s="17">
        <v>7</v>
      </c>
    </row>
    <row r="10" spans="1:8" x14ac:dyDescent="0.25">
      <c r="A10" s="17" t="s">
        <v>160</v>
      </c>
      <c r="B10" s="17">
        <f>3*1.5</f>
        <v>4.5</v>
      </c>
      <c r="D10" s="17" t="s">
        <v>241</v>
      </c>
      <c r="E10" s="17">
        <v>0</v>
      </c>
      <c r="G10" s="17" t="s">
        <v>185</v>
      </c>
      <c r="H10" s="17">
        <v>8</v>
      </c>
    </row>
    <row r="11" spans="1:8" x14ac:dyDescent="0.25">
      <c r="A11" s="17" t="s">
        <v>161</v>
      </c>
      <c r="B11" s="17">
        <f>0*1.5</f>
        <v>0</v>
      </c>
      <c r="D11" s="17" t="s">
        <v>242</v>
      </c>
      <c r="E11" s="17">
        <v>0.15</v>
      </c>
      <c r="G11" s="17" t="s">
        <v>209</v>
      </c>
      <c r="H11" s="17">
        <v>9</v>
      </c>
    </row>
    <row r="12" spans="1:8" x14ac:dyDescent="0.25">
      <c r="G12" s="17" t="s">
        <v>213</v>
      </c>
      <c r="H12" s="17">
        <v>10</v>
      </c>
    </row>
    <row r="13" spans="1:8" x14ac:dyDescent="0.25">
      <c r="A13" s="17" t="s">
        <v>87</v>
      </c>
      <c r="B13" s="17">
        <v>1</v>
      </c>
      <c r="D13" s="17" t="s">
        <v>88</v>
      </c>
      <c r="E13" s="17">
        <v>0.2</v>
      </c>
      <c r="G13" s="17" t="s">
        <v>219</v>
      </c>
      <c r="H13" s="17">
        <v>11</v>
      </c>
    </row>
    <row r="14" spans="1:8" x14ac:dyDescent="0.25">
      <c r="G14" s="17" t="s">
        <v>221</v>
      </c>
      <c r="H14" s="17">
        <v>12</v>
      </c>
    </row>
    <row r="15" spans="1:8" x14ac:dyDescent="0.25">
      <c r="A15" s="17" t="s">
        <v>8</v>
      </c>
      <c r="D15" s="17" t="s">
        <v>8</v>
      </c>
    </row>
    <row r="16" spans="1:8" ht="75" x14ac:dyDescent="0.25">
      <c r="A16" s="17" t="s">
        <v>7</v>
      </c>
      <c r="D16" s="17" t="s">
        <v>20</v>
      </c>
    </row>
    <row r="17" spans="1:4" ht="30" x14ac:dyDescent="0.25">
      <c r="A17" s="18" t="s">
        <v>17</v>
      </c>
      <c r="D17" s="18" t="s">
        <v>22</v>
      </c>
    </row>
    <row r="19" spans="1:4" ht="30" x14ac:dyDescent="0.25">
      <c r="A19" s="17" t="s">
        <v>9</v>
      </c>
      <c r="D19" s="17" t="s">
        <v>9</v>
      </c>
    </row>
    <row r="20" spans="1:4" x14ac:dyDescent="0.25">
      <c r="A20" s="17" t="s">
        <v>10</v>
      </c>
      <c r="D20" s="17" t="s">
        <v>23</v>
      </c>
    </row>
    <row r="21" spans="1:4" x14ac:dyDescent="0.25">
      <c r="A21" s="17" t="s">
        <v>11</v>
      </c>
      <c r="D21" s="17" t="s">
        <v>24</v>
      </c>
    </row>
    <row r="22" spans="1:4" x14ac:dyDescent="0.25">
      <c r="A22" s="17" t="s">
        <v>12</v>
      </c>
      <c r="D22" s="17" t="s">
        <v>25</v>
      </c>
    </row>
    <row r="23" spans="1:4" x14ac:dyDescent="0.25">
      <c r="D23" s="17" t="s">
        <v>12</v>
      </c>
    </row>
    <row r="24" spans="1:4" x14ac:dyDescent="0.25">
      <c r="D24" s="17" t="s">
        <v>26</v>
      </c>
    </row>
    <row r="26" spans="1:4" ht="17.25" customHeight="1" x14ac:dyDescent="0.25">
      <c r="A26" s="17" t="s">
        <v>250</v>
      </c>
      <c r="D26" s="17" t="s">
        <v>250</v>
      </c>
    </row>
    <row r="27" spans="1:4" ht="48" customHeight="1" x14ac:dyDescent="0.25">
      <c r="A27" s="17" t="s">
        <v>254</v>
      </c>
      <c r="D27" s="17" t="s">
        <v>255</v>
      </c>
    </row>
    <row r="29" spans="1:4" ht="30" x14ac:dyDescent="0.25">
      <c r="A29" s="17" t="s">
        <v>252</v>
      </c>
      <c r="D29" s="17" t="s">
        <v>253</v>
      </c>
    </row>
    <row r="30" spans="1:4" ht="30" x14ac:dyDescent="0.25">
      <c r="A30" s="17" t="s">
        <v>257</v>
      </c>
      <c r="D30" s="17" t="s">
        <v>258</v>
      </c>
    </row>
    <row r="32" spans="1:4" x14ac:dyDescent="0.25">
      <c r="A32" s="17" t="s">
        <v>229</v>
      </c>
      <c r="D32" s="17" t="s">
        <v>229</v>
      </c>
    </row>
    <row r="33" spans="1:4" ht="16.5" customHeight="1" x14ac:dyDescent="0.25">
      <c r="A33" s="17" t="s">
        <v>236</v>
      </c>
      <c r="D33" s="17" t="s">
        <v>232</v>
      </c>
    </row>
    <row r="34" spans="1:4" x14ac:dyDescent="0.25">
      <c r="A34" s="17" t="s">
        <v>235</v>
      </c>
      <c r="D34" s="17" t="s">
        <v>251</v>
      </c>
    </row>
    <row r="35" spans="1:4" x14ac:dyDescent="0.25">
      <c r="A35" s="17" t="s">
        <v>249</v>
      </c>
      <c r="D35" s="17" t="s">
        <v>230</v>
      </c>
    </row>
    <row r="36" spans="1:4" x14ac:dyDescent="0.25">
      <c r="A36" s="17" t="s">
        <v>233</v>
      </c>
      <c r="D36" s="17" t="s">
        <v>231</v>
      </c>
    </row>
    <row r="37" spans="1:4" x14ac:dyDescent="0.25">
      <c r="A37" s="17" t="s">
        <v>260</v>
      </c>
      <c r="D37" s="17" t="s">
        <v>233</v>
      </c>
    </row>
    <row r="38" spans="1:4" x14ac:dyDescent="0.25">
      <c r="A38" s="17" t="s">
        <v>256</v>
      </c>
      <c r="D38" s="17" t="s">
        <v>259</v>
      </c>
    </row>
    <row r="39" spans="1:4" x14ac:dyDescent="0.25">
      <c r="D39" s="17" t="s">
        <v>256</v>
      </c>
    </row>
  </sheetData>
  <hyperlinks>
    <hyperlink ref="A17" r:id="rId1"/>
    <hyperlink ref="D1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Data</vt:lpstr>
      <vt:lpstr>Graph</vt:lpstr>
      <vt:lpstr>Reference</vt:lpstr>
      <vt:lpstr>cardNpValue</vt:lpstr>
      <vt:lpstr>cardStarValue</vt:lpstr>
      <vt:lpstr>classOrder</vt:lpstr>
      <vt:lpstr>firstCardNpBonus</vt:lpstr>
      <vt:lpstr>firstCardStarBonus</vt:lpstr>
      <vt:lpstr>maxTotalNpGain</vt:lpstr>
      <vt:lpstr>maxTotalStarGen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2017-06-19T10:17:47Z</dcterms:created>
  <dcterms:modified xsi:type="dcterms:W3CDTF">2017-06-21T10:51:06Z</dcterms:modified>
</cp:coreProperties>
</file>